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ad\dfs\home\svobodovab\Simča\ROK 2026\MŠ Na Kopečku - statické zajištění jídelny\"/>
    </mc:Choice>
  </mc:AlternateContent>
  <xr:revisionPtr revIDLastSave="0" documentId="8_{E68C8D77-3CD1-4BD7-99AF-BFBFA9DCF31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Krycí list rozpočtu" sheetId="2" r:id="rId1"/>
    <sheet name="VORN" sheetId="3" r:id="rId2"/>
    <sheet name="Stavební rozpočet" sheetId="1" r:id="rId3"/>
    <sheet name="topení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3">topení!$A$1:$J$46</definedName>
    <definedName name="vorn_sum" localSheetId="3">[1]VORN!$I$45</definedName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4" i="4" l="1"/>
  <c r="M44" i="4"/>
  <c r="N43" i="4"/>
  <c r="M43" i="4"/>
  <c r="J43" i="4"/>
  <c r="N42" i="4"/>
  <c r="M42" i="4"/>
  <c r="J42" i="4"/>
  <c r="N41" i="4"/>
  <c r="M41" i="4"/>
  <c r="J41" i="4"/>
  <c r="N40" i="4"/>
  <c r="M40" i="4"/>
  <c r="J40" i="4"/>
  <c r="N39" i="4"/>
  <c r="M39" i="4"/>
  <c r="J39" i="4"/>
  <c r="N38" i="4"/>
  <c r="M38" i="4"/>
  <c r="J38" i="4"/>
  <c r="N37" i="4"/>
  <c r="M37" i="4"/>
  <c r="J37" i="4"/>
  <c r="N36" i="4"/>
  <c r="M36" i="4"/>
  <c r="J36" i="4"/>
  <c r="N35" i="4"/>
  <c r="M35" i="4"/>
  <c r="J35" i="4"/>
  <c r="N34" i="4"/>
  <c r="M34" i="4"/>
  <c r="J34" i="4"/>
  <c r="N33" i="4"/>
  <c r="M33" i="4"/>
  <c r="J33" i="4"/>
  <c r="N32" i="4"/>
  <c r="M32" i="4"/>
  <c r="J32" i="4"/>
  <c r="N31" i="4"/>
  <c r="M31" i="4"/>
  <c r="J31" i="4"/>
  <c r="N30" i="4"/>
  <c r="M30" i="4"/>
  <c r="J30" i="4"/>
  <c r="N29" i="4"/>
  <c r="M29" i="4"/>
  <c r="J29" i="4"/>
  <c r="N28" i="4"/>
  <c r="M28" i="4"/>
  <c r="J28" i="4"/>
  <c r="N27" i="4"/>
  <c r="M27" i="4"/>
  <c r="J27" i="4"/>
  <c r="N26" i="4"/>
  <c r="M26" i="4"/>
  <c r="J26" i="4"/>
  <c r="N25" i="4"/>
  <c r="M25" i="4"/>
  <c r="J25" i="4"/>
  <c r="N24" i="4"/>
  <c r="M24" i="4"/>
  <c r="J24" i="4"/>
  <c r="N23" i="4"/>
  <c r="M23" i="4"/>
  <c r="J23" i="4"/>
  <c r="N21" i="4"/>
  <c r="M21" i="4"/>
  <c r="J21" i="4"/>
  <c r="N20" i="4"/>
  <c r="M20" i="4"/>
  <c r="J20" i="4"/>
  <c r="N19" i="4"/>
  <c r="M19" i="4"/>
  <c r="J19" i="4"/>
  <c r="N18" i="4"/>
  <c r="M18" i="4"/>
  <c r="J18" i="4"/>
  <c r="N17" i="4"/>
  <c r="M17" i="4"/>
  <c r="J17" i="4"/>
  <c r="N16" i="4"/>
  <c r="M16" i="4"/>
  <c r="J16" i="4"/>
  <c r="N15" i="4"/>
  <c r="M15" i="4"/>
  <c r="J15" i="4"/>
  <c r="N14" i="4"/>
  <c r="M14" i="4"/>
  <c r="J14" i="4"/>
  <c r="N13" i="4"/>
  <c r="M13" i="4"/>
  <c r="J13" i="4"/>
  <c r="N12" i="4"/>
  <c r="M12" i="4"/>
  <c r="J12" i="4"/>
  <c r="N11" i="4"/>
  <c r="M11" i="4"/>
  <c r="J11" i="4"/>
  <c r="N10" i="4"/>
  <c r="M10" i="4"/>
  <c r="J10" i="4"/>
  <c r="N9" i="4"/>
  <c r="M9" i="4"/>
  <c r="J9" i="4"/>
  <c r="N8" i="4"/>
  <c r="M8" i="4"/>
  <c r="J8" i="4"/>
  <c r="J22" i="4" s="1"/>
  <c r="N7" i="4"/>
  <c r="M7" i="4"/>
  <c r="J7" i="4"/>
  <c r="M6" i="4"/>
  <c r="H6" i="4"/>
  <c r="I44" i="3"/>
  <c r="F44" i="3"/>
  <c r="I43" i="3"/>
  <c r="F43" i="3"/>
  <c r="F42" i="3"/>
  <c r="I42" i="3" s="1"/>
  <c r="I40" i="3"/>
  <c r="F40" i="3"/>
  <c r="F39" i="3"/>
  <c r="I39" i="3" s="1"/>
  <c r="I38" i="3"/>
  <c r="F38" i="3"/>
  <c r="I37" i="3"/>
  <c r="F36" i="3"/>
  <c r="I36" i="3" s="1"/>
  <c r="I35" i="3"/>
  <c r="F35" i="3"/>
  <c r="I26" i="3"/>
  <c r="I25" i="3"/>
  <c r="I18" i="2" s="1"/>
  <c r="I24" i="3"/>
  <c r="I23" i="3"/>
  <c r="I22" i="3"/>
  <c r="I21" i="3"/>
  <c r="I17" i="3"/>
  <c r="F16" i="2" s="1"/>
  <c r="I16" i="3"/>
  <c r="I15" i="3"/>
  <c r="F14" i="2" s="1"/>
  <c r="I10" i="3"/>
  <c r="F10" i="3"/>
  <c r="C10" i="3"/>
  <c r="F8" i="3"/>
  <c r="C8" i="3"/>
  <c r="F6" i="3"/>
  <c r="C6" i="3"/>
  <c r="F4" i="3"/>
  <c r="C4" i="3"/>
  <c r="F2" i="3"/>
  <c r="C2" i="3"/>
  <c r="I19" i="2"/>
  <c r="I17" i="2"/>
  <c r="I16" i="2"/>
  <c r="I15" i="2"/>
  <c r="F15" i="2"/>
  <c r="I14" i="2"/>
  <c r="I10" i="2"/>
  <c r="F10" i="2"/>
  <c r="C10" i="2"/>
  <c r="F8" i="2"/>
  <c r="C8" i="2"/>
  <c r="F6" i="2"/>
  <c r="C6" i="2"/>
  <c r="F4" i="2"/>
  <c r="C4" i="2"/>
  <c r="F2" i="2"/>
  <c r="C2" i="2"/>
  <c r="BS293" i="1"/>
  <c r="BJ293" i="1"/>
  <c r="BI293" i="1"/>
  <c r="BH293" i="1"/>
  <c r="BF293" i="1"/>
  <c r="BD293" i="1"/>
  <c r="AX293" i="1"/>
  <c r="AP293" i="1"/>
  <c r="AO293" i="1"/>
  <c r="AW293" i="1" s="1"/>
  <c r="BC293" i="1" s="1"/>
  <c r="AL293" i="1"/>
  <c r="AK293" i="1"/>
  <c r="AJ293" i="1"/>
  <c r="AH293" i="1"/>
  <c r="AG293" i="1"/>
  <c r="AF293" i="1"/>
  <c r="AE293" i="1"/>
  <c r="AD293" i="1"/>
  <c r="AC293" i="1"/>
  <c r="AB293" i="1"/>
  <c r="Z293" i="1"/>
  <c r="J293" i="1"/>
  <c r="I293" i="1"/>
  <c r="BS291" i="1"/>
  <c r="BJ291" i="1"/>
  <c r="BF291" i="1"/>
  <c r="BD291" i="1"/>
  <c r="AP291" i="1"/>
  <c r="AO291" i="1"/>
  <c r="AW291" i="1" s="1"/>
  <c r="AK291" i="1"/>
  <c r="AJ291" i="1"/>
  <c r="AH291" i="1"/>
  <c r="AG291" i="1"/>
  <c r="AF291" i="1"/>
  <c r="AE291" i="1"/>
  <c r="AD291" i="1"/>
  <c r="AC291" i="1"/>
  <c r="AB291" i="1"/>
  <c r="Z291" i="1"/>
  <c r="J291" i="1"/>
  <c r="AL291" i="1" s="1"/>
  <c r="H291" i="1"/>
  <c r="AT290" i="1"/>
  <c r="AS290" i="1"/>
  <c r="BO288" i="1"/>
  <c r="BJ288" i="1"/>
  <c r="BI288" i="1"/>
  <c r="BH288" i="1"/>
  <c r="BF288" i="1"/>
  <c r="BD288" i="1"/>
  <c r="AX288" i="1"/>
  <c r="AW288" i="1"/>
  <c r="BC288" i="1" s="1"/>
  <c r="AP288" i="1"/>
  <c r="I288" i="1" s="1"/>
  <c r="AO288" i="1"/>
  <c r="AK288" i="1"/>
  <c r="AJ288" i="1"/>
  <c r="AH288" i="1"/>
  <c r="AG288" i="1"/>
  <c r="AF288" i="1"/>
  <c r="AE288" i="1"/>
  <c r="AD288" i="1"/>
  <c r="AC288" i="1"/>
  <c r="AB288" i="1"/>
  <c r="Z288" i="1"/>
  <c r="J288" i="1"/>
  <c r="AL288" i="1" s="1"/>
  <c r="H288" i="1"/>
  <c r="BO287" i="1"/>
  <c r="BJ287" i="1"/>
  <c r="BI287" i="1"/>
  <c r="BF287" i="1"/>
  <c r="BD287" i="1"/>
  <c r="AX287" i="1"/>
  <c r="AP287" i="1"/>
  <c r="AO287" i="1"/>
  <c r="AK287" i="1"/>
  <c r="AJ287" i="1"/>
  <c r="AH287" i="1"/>
  <c r="AG287" i="1"/>
  <c r="AF287" i="1"/>
  <c r="AE287" i="1"/>
  <c r="AD287" i="1"/>
  <c r="AC287" i="1"/>
  <c r="AB287" i="1"/>
  <c r="Z287" i="1"/>
  <c r="J287" i="1"/>
  <c r="AL287" i="1" s="1"/>
  <c r="I287" i="1"/>
  <c r="BO286" i="1"/>
  <c r="F37" i="3" s="1"/>
  <c r="BJ286" i="1"/>
  <c r="BF286" i="1"/>
  <c r="BD286" i="1"/>
  <c r="AP286" i="1"/>
  <c r="AO286" i="1"/>
  <c r="AW286" i="1" s="1"/>
  <c r="AK286" i="1"/>
  <c r="AJ286" i="1"/>
  <c r="AH286" i="1"/>
  <c r="AG286" i="1"/>
  <c r="AF286" i="1"/>
  <c r="AE286" i="1"/>
  <c r="AD286" i="1"/>
  <c r="AC286" i="1"/>
  <c r="AB286" i="1"/>
  <c r="Z286" i="1"/>
  <c r="J286" i="1"/>
  <c r="AL286" i="1" s="1"/>
  <c r="H286" i="1"/>
  <c r="AT285" i="1"/>
  <c r="AS285" i="1"/>
  <c r="BJ282" i="1"/>
  <c r="Z282" i="1" s="1"/>
  <c r="BI282" i="1"/>
  <c r="BF282" i="1"/>
  <c r="BD282" i="1"/>
  <c r="AX282" i="1"/>
  <c r="BC282" i="1" s="1"/>
  <c r="AP282" i="1"/>
  <c r="AO282" i="1"/>
  <c r="AW282" i="1" s="1"/>
  <c r="AL282" i="1"/>
  <c r="AK282" i="1"/>
  <c r="AJ282" i="1"/>
  <c r="AH282" i="1"/>
  <c r="AG282" i="1"/>
  <c r="AF282" i="1"/>
  <c r="AE282" i="1"/>
  <c r="AD282" i="1"/>
  <c r="AC282" i="1"/>
  <c r="AB282" i="1"/>
  <c r="J282" i="1"/>
  <c r="I282" i="1"/>
  <c r="H282" i="1"/>
  <c r="BJ281" i="1"/>
  <c r="BI281" i="1"/>
  <c r="BF281" i="1"/>
  <c r="BD281" i="1"/>
  <c r="AP281" i="1"/>
  <c r="AX281" i="1" s="1"/>
  <c r="AO281" i="1"/>
  <c r="AK281" i="1"/>
  <c r="AJ281" i="1"/>
  <c r="AH281" i="1"/>
  <c r="AG281" i="1"/>
  <c r="AF281" i="1"/>
  <c r="AE281" i="1"/>
  <c r="AD281" i="1"/>
  <c r="AC281" i="1"/>
  <c r="AB281" i="1"/>
  <c r="Z281" i="1"/>
  <c r="J281" i="1"/>
  <c r="AL281" i="1" s="1"/>
  <c r="BJ280" i="1"/>
  <c r="BF280" i="1"/>
  <c r="BD280" i="1"/>
  <c r="AX280" i="1"/>
  <c r="AP280" i="1"/>
  <c r="AO280" i="1"/>
  <c r="AW280" i="1" s="1"/>
  <c r="AK280" i="1"/>
  <c r="AJ280" i="1"/>
  <c r="AH280" i="1"/>
  <c r="AG280" i="1"/>
  <c r="AF280" i="1"/>
  <c r="AE280" i="1"/>
  <c r="AD280" i="1"/>
  <c r="AC280" i="1"/>
  <c r="AB280" i="1"/>
  <c r="Z280" i="1"/>
  <c r="J280" i="1"/>
  <c r="AL280" i="1" s="1"/>
  <c r="H280" i="1"/>
  <c r="BJ279" i="1"/>
  <c r="BH279" i="1"/>
  <c r="BF279" i="1"/>
  <c r="BD279" i="1"/>
  <c r="AW279" i="1"/>
  <c r="AP279" i="1"/>
  <c r="AO279" i="1"/>
  <c r="H279" i="1" s="1"/>
  <c r="AL279" i="1"/>
  <c r="AK279" i="1"/>
  <c r="AJ279" i="1"/>
  <c r="AH279" i="1"/>
  <c r="AG279" i="1"/>
  <c r="AF279" i="1"/>
  <c r="AE279" i="1"/>
  <c r="AD279" i="1"/>
  <c r="AC279" i="1"/>
  <c r="AB279" i="1"/>
  <c r="Z279" i="1"/>
  <c r="J279" i="1"/>
  <c r="BJ278" i="1"/>
  <c r="Z278" i="1" s="1"/>
  <c r="BI278" i="1"/>
  <c r="BF278" i="1"/>
  <c r="BD278" i="1"/>
  <c r="AX278" i="1"/>
  <c r="AP278" i="1"/>
  <c r="I278" i="1" s="1"/>
  <c r="AO278" i="1"/>
  <c r="AK278" i="1"/>
  <c r="AJ278" i="1"/>
  <c r="AH278" i="1"/>
  <c r="AG278" i="1"/>
  <c r="AF278" i="1"/>
  <c r="AE278" i="1"/>
  <c r="AD278" i="1"/>
  <c r="AC278" i="1"/>
  <c r="AB278" i="1"/>
  <c r="J278" i="1"/>
  <c r="AL278" i="1" s="1"/>
  <c r="BJ276" i="1"/>
  <c r="Z276" i="1" s="1"/>
  <c r="BI276" i="1"/>
  <c r="BH276" i="1"/>
  <c r="BF276" i="1"/>
  <c r="BD276" i="1"/>
  <c r="AX276" i="1"/>
  <c r="BC276" i="1" s="1"/>
  <c r="AW276" i="1"/>
  <c r="AP276" i="1"/>
  <c r="AO276" i="1"/>
  <c r="AL276" i="1"/>
  <c r="AK276" i="1"/>
  <c r="AJ276" i="1"/>
  <c r="AH276" i="1"/>
  <c r="AG276" i="1"/>
  <c r="AF276" i="1"/>
  <c r="AE276" i="1"/>
  <c r="AD276" i="1"/>
  <c r="AC276" i="1"/>
  <c r="AB276" i="1"/>
  <c r="J276" i="1"/>
  <c r="I276" i="1"/>
  <c r="H276" i="1"/>
  <c r="BJ275" i="1"/>
  <c r="Z275" i="1" s="1"/>
  <c r="BI275" i="1"/>
  <c r="BF275" i="1"/>
  <c r="BD275" i="1"/>
  <c r="AX275" i="1"/>
  <c r="BC275" i="1" s="1"/>
  <c r="AP275" i="1"/>
  <c r="AO275" i="1"/>
  <c r="AW275" i="1" s="1"/>
  <c r="AL275" i="1"/>
  <c r="AK275" i="1"/>
  <c r="AJ275" i="1"/>
  <c r="AH275" i="1"/>
  <c r="AG275" i="1"/>
  <c r="AF275" i="1"/>
  <c r="AE275" i="1"/>
  <c r="AD275" i="1"/>
  <c r="AC275" i="1"/>
  <c r="AB275" i="1"/>
  <c r="J275" i="1"/>
  <c r="I275" i="1"/>
  <c r="H275" i="1"/>
  <c r="BJ273" i="1"/>
  <c r="BI273" i="1"/>
  <c r="BF273" i="1"/>
  <c r="BD273" i="1"/>
  <c r="AP273" i="1"/>
  <c r="AX273" i="1" s="1"/>
  <c r="AO273" i="1"/>
  <c r="AK273" i="1"/>
  <c r="AJ273" i="1"/>
  <c r="AH273" i="1"/>
  <c r="AG273" i="1"/>
  <c r="AF273" i="1"/>
  <c r="AE273" i="1"/>
  <c r="AD273" i="1"/>
  <c r="AC273" i="1"/>
  <c r="AB273" i="1"/>
  <c r="Z273" i="1"/>
  <c r="J273" i="1"/>
  <c r="AL273" i="1" s="1"/>
  <c r="BJ272" i="1"/>
  <c r="BF272" i="1"/>
  <c r="BD272" i="1"/>
  <c r="AX272" i="1"/>
  <c r="AP272" i="1"/>
  <c r="AO272" i="1"/>
  <c r="AW272" i="1" s="1"/>
  <c r="AK272" i="1"/>
  <c r="AJ272" i="1"/>
  <c r="AH272" i="1"/>
  <c r="AG272" i="1"/>
  <c r="AF272" i="1"/>
  <c r="AE272" i="1"/>
  <c r="AD272" i="1"/>
  <c r="AC272" i="1"/>
  <c r="AB272" i="1"/>
  <c r="Z272" i="1"/>
  <c r="J272" i="1"/>
  <c r="H272" i="1"/>
  <c r="BJ271" i="1"/>
  <c r="BH271" i="1"/>
  <c r="BF271" i="1"/>
  <c r="BD271" i="1"/>
  <c r="AW271" i="1"/>
  <c r="AP271" i="1"/>
  <c r="AO271" i="1"/>
  <c r="H271" i="1" s="1"/>
  <c r="AL271" i="1"/>
  <c r="AK271" i="1"/>
  <c r="AJ271" i="1"/>
  <c r="AS270" i="1" s="1"/>
  <c r="AH271" i="1"/>
  <c r="AG271" i="1"/>
  <c r="AF271" i="1"/>
  <c r="AE271" i="1"/>
  <c r="AD271" i="1"/>
  <c r="AC271" i="1"/>
  <c r="AB271" i="1"/>
  <c r="Z271" i="1"/>
  <c r="J271" i="1"/>
  <c r="AT270" i="1"/>
  <c r="BJ269" i="1"/>
  <c r="BI269" i="1"/>
  <c r="AG269" i="1" s="1"/>
  <c r="BF269" i="1"/>
  <c r="BD269" i="1"/>
  <c r="AX269" i="1"/>
  <c r="AP269" i="1"/>
  <c r="AO269" i="1"/>
  <c r="AK269" i="1"/>
  <c r="AJ269" i="1"/>
  <c r="AH269" i="1"/>
  <c r="AE269" i="1"/>
  <c r="AD269" i="1"/>
  <c r="AC269" i="1"/>
  <c r="AB269" i="1"/>
  <c r="Z269" i="1"/>
  <c r="J269" i="1"/>
  <c r="AL269" i="1" s="1"/>
  <c r="I269" i="1"/>
  <c r="H269" i="1"/>
  <c r="BJ268" i="1"/>
  <c r="BI268" i="1"/>
  <c r="AG268" i="1" s="1"/>
  <c r="BH268" i="1"/>
  <c r="BF268" i="1"/>
  <c r="BD268" i="1"/>
  <c r="BC268" i="1"/>
  <c r="AX268" i="1"/>
  <c r="AW268" i="1"/>
  <c r="AV268" i="1" s="1"/>
  <c r="AP268" i="1"/>
  <c r="AO268" i="1"/>
  <c r="AL268" i="1"/>
  <c r="AK268" i="1"/>
  <c r="AJ268" i="1"/>
  <c r="AH268" i="1"/>
  <c r="AF268" i="1"/>
  <c r="AE268" i="1"/>
  <c r="AD268" i="1"/>
  <c r="AC268" i="1"/>
  <c r="AB268" i="1"/>
  <c r="Z268" i="1"/>
  <c r="J268" i="1"/>
  <c r="I268" i="1"/>
  <c r="H268" i="1"/>
  <c r="BJ267" i="1"/>
  <c r="BI267" i="1"/>
  <c r="BH267" i="1"/>
  <c r="AF267" i="1" s="1"/>
  <c r="BF267" i="1"/>
  <c r="BD267" i="1"/>
  <c r="BC267" i="1"/>
  <c r="AX267" i="1"/>
  <c r="AV267" i="1"/>
  <c r="AP267" i="1"/>
  <c r="AO267" i="1"/>
  <c r="AW267" i="1" s="1"/>
  <c r="AL267" i="1"/>
  <c r="AK267" i="1"/>
  <c r="AJ267" i="1"/>
  <c r="AH267" i="1"/>
  <c r="AG267" i="1"/>
  <c r="AE267" i="1"/>
  <c r="AD267" i="1"/>
  <c r="AC267" i="1"/>
  <c r="AB267" i="1"/>
  <c r="Z267" i="1"/>
  <c r="J267" i="1"/>
  <c r="I267" i="1"/>
  <c r="H267" i="1"/>
  <c r="BJ266" i="1"/>
  <c r="BI266" i="1"/>
  <c r="AG266" i="1" s="1"/>
  <c r="BF266" i="1"/>
  <c r="BD266" i="1"/>
  <c r="AP266" i="1"/>
  <c r="AX266" i="1" s="1"/>
  <c r="AO266" i="1"/>
  <c r="AK266" i="1"/>
  <c r="AJ266" i="1"/>
  <c r="AH266" i="1"/>
  <c r="AE266" i="1"/>
  <c r="AD266" i="1"/>
  <c r="AC266" i="1"/>
  <c r="AB266" i="1"/>
  <c r="Z266" i="1"/>
  <c r="J266" i="1"/>
  <c r="AL266" i="1" s="1"/>
  <c r="BJ265" i="1"/>
  <c r="BF265" i="1"/>
  <c r="BD265" i="1"/>
  <c r="AX265" i="1"/>
  <c r="AP265" i="1"/>
  <c r="AO265" i="1"/>
  <c r="AW265" i="1" s="1"/>
  <c r="AK265" i="1"/>
  <c r="AJ265" i="1"/>
  <c r="AH265" i="1"/>
  <c r="AE265" i="1"/>
  <c r="AD265" i="1"/>
  <c r="AC265" i="1"/>
  <c r="AB265" i="1"/>
  <c r="Z265" i="1"/>
  <c r="J265" i="1"/>
  <c r="AL265" i="1" s="1"/>
  <c r="H265" i="1"/>
  <c r="BJ264" i="1"/>
  <c r="BH264" i="1"/>
  <c r="AF264" i="1" s="1"/>
  <c r="BF264" i="1"/>
  <c r="BD264" i="1"/>
  <c r="AW264" i="1"/>
  <c r="AP264" i="1"/>
  <c r="AO264" i="1"/>
  <c r="AL264" i="1"/>
  <c r="AK264" i="1"/>
  <c r="AJ264" i="1"/>
  <c r="AH264" i="1"/>
  <c r="AE264" i="1"/>
  <c r="AD264" i="1"/>
  <c r="AC264" i="1"/>
  <c r="AB264" i="1"/>
  <c r="Z264" i="1"/>
  <c r="J264" i="1"/>
  <c r="H264" i="1"/>
  <c r="BJ263" i="1"/>
  <c r="BI263" i="1"/>
  <c r="AG263" i="1" s="1"/>
  <c r="BF263" i="1"/>
  <c r="BD263" i="1"/>
  <c r="AX263" i="1"/>
  <c r="AP263" i="1"/>
  <c r="AO263" i="1"/>
  <c r="AK263" i="1"/>
  <c r="AJ263" i="1"/>
  <c r="AH263" i="1"/>
  <c r="AE263" i="1"/>
  <c r="AD263" i="1"/>
  <c r="AC263" i="1"/>
  <c r="AB263" i="1"/>
  <c r="Z263" i="1"/>
  <c r="J263" i="1"/>
  <c r="I263" i="1"/>
  <c r="H263" i="1"/>
  <c r="BJ262" i="1"/>
  <c r="BF262" i="1"/>
  <c r="BD262" i="1"/>
  <c r="AX262" i="1"/>
  <c r="BC262" i="1" s="1"/>
  <c r="AW262" i="1"/>
  <c r="AP262" i="1"/>
  <c r="BI262" i="1" s="1"/>
  <c r="AG262" i="1" s="1"/>
  <c r="AO262" i="1"/>
  <c r="BH262" i="1" s="1"/>
  <c r="AF262" i="1" s="1"/>
  <c r="AL262" i="1"/>
  <c r="AK262" i="1"/>
  <c r="AJ262" i="1"/>
  <c r="AH262" i="1"/>
  <c r="AE262" i="1"/>
  <c r="AD262" i="1"/>
  <c r="AC262" i="1"/>
  <c r="AB262" i="1"/>
  <c r="Z262" i="1"/>
  <c r="J262" i="1"/>
  <c r="I262" i="1"/>
  <c r="H262" i="1"/>
  <c r="BJ261" i="1"/>
  <c r="BH261" i="1"/>
  <c r="AF261" i="1" s="1"/>
  <c r="BF261" i="1"/>
  <c r="BD261" i="1"/>
  <c r="AX261" i="1"/>
  <c r="AP261" i="1"/>
  <c r="BI261" i="1" s="1"/>
  <c r="AG261" i="1" s="1"/>
  <c r="AO261" i="1"/>
  <c r="AW261" i="1" s="1"/>
  <c r="AK261" i="1"/>
  <c r="AJ261" i="1"/>
  <c r="AH261" i="1"/>
  <c r="AE261" i="1"/>
  <c r="AD261" i="1"/>
  <c r="AC261" i="1"/>
  <c r="AB261" i="1"/>
  <c r="Z261" i="1"/>
  <c r="J261" i="1"/>
  <c r="AL261" i="1" s="1"/>
  <c r="I261" i="1"/>
  <c r="H261" i="1"/>
  <c r="BJ260" i="1"/>
  <c r="BI260" i="1"/>
  <c r="AG260" i="1" s="1"/>
  <c r="BF260" i="1"/>
  <c r="BD260" i="1"/>
  <c r="AP260" i="1"/>
  <c r="AX260" i="1" s="1"/>
  <c r="AO260" i="1"/>
  <c r="AK260" i="1"/>
  <c r="AJ260" i="1"/>
  <c r="AH260" i="1"/>
  <c r="AE260" i="1"/>
  <c r="AD260" i="1"/>
  <c r="AC260" i="1"/>
  <c r="AB260" i="1"/>
  <c r="Z260" i="1"/>
  <c r="J260" i="1"/>
  <c r="AL260" i="1" s="1"/>
  <c r="I260" i="1"/>
  <c r="BJ259" i="1"/>
  <c r="BF259" i="1"/>
  <c r="BD259" i="1"/>
  <c r="AP259" i="1"/>
  <c r="AO259" i="1"/>
  <c r="AW259" i="1" s="1"/>
  <c r="AK259" i="1"/>
  <c r="AJ259" i="1"/>
  <c r="AH259" i="1"/>
  <c r="AE259" i="1"/>
  <c r="AD259" i="1"/>
  <c r="AC259" i="1"/>
  <c r="AB259" i="1"/>
  <c r="Z259" i="1"/>
  <c r="J259" i="1"/>
  <c r="AL259" i="1" s="1"/>
  <c r="H259" i="1"/>
  <c r="BJ258" i="1"/>
  <c r="BH258" i="1"/>
  <c r="AF258" i="1" s="1"/>
  <c r="BF258" i="1"/>
  <c r="BD258" i="1"/>
  <c r="AW258" i="1"/>
  <c r="AP258" i="1"/>
  <c r="AO258" i="1"/>
  <c r="AL258" i="1"/>
  <c r="AK258" i="1"/>
  <c r="AJ258" i="1"/>
  <c r="AH258" i="1"/>
  <c r="AE258" i="1"/>
  <c r="AD258" i="1"/>
  <c r="AC258" i="1"/>
  <c r="AB258" i="1"/>
  <c r="Z258" i="1"/>
  <c r="J258" i="1"/>
  <c r="H258" i="1"/>
  <c r="BJ257" i="1"/>
  <c r="BI257" i="1"/>
  <c r="AG257" i="1" s="1"/>
  <c r="BF257" i="1"/>
  <c r="BD257" i="1"/>
  <c r="AX257" i="1"/>
  <c r="AP257" i="1"/>
  <c r="AO257" i="1"/>
  <c r="AW257" i="1" s="1"/>
  <c r="AL257" i="1"/>
  <c r="AK257" i="1"/>
  <c r="AJ257" i="1"/>
  <c r="AH257" i="1"/>
  <c r="AE257" i="1"/>
  <c r="AD257" i="1"/>
  <c r="AC257" i="1"/>
  <c r="AB257" i="1"/>
  <c r="Z257" i="1"/>
  <c r="J257" i="1"/>
  <c r="I257" i="1"/>
  <c r="H257" i="1"/>
  <c r="BJ256" i="1"/>
  <c r="BF256" i="1"/>
  <c r="BD256" i="1"/>
  <c r="AX256" i="1"/>
  <c r="BC256" i="1" s="1"/>
  <c r="AW256" i="1"/>
  <c r="AP256" i="1"/>
  <c r="BI256" i="1" s="1"/>
  <c r="AG256" i="1" s="1"/>
  <c r="AO256" i="1"/>
  <c r="BH256" i="1" s="1"/>
  <c r="AL256" i="1"/>
  <c r="AK256" i="1"/>
  <c r="AJ256" i="1"/>
  <c r="AH256" i="1"/>
  <c r="AF256" i="1"/>
  <c r="AE256" i="1"/>
  <c r="AD256" i="1"/>
  <c r="AC256" i="1"/>
  <c r="AB256" i="1"/>
  <c r="Z256" i="1"/>
  <c r="J256" i="1"/>
  <c r="I256" i="1"/>
  <c r="H256" i="1"/>
  <c r="BJ255" i="1"/>
  <c r="BF255" i="1"/>
  <c r="BD255" i="1"/>
  <c r="AX255" i="1"/>
  <c r="BC255" i="1" s="1"/>
  <c r="AV255" i="1"/>
  <c r="AP255" i="1"/>
  <c r="BI255" i="1" s="1"/>
  <c r="AO255" i="1"/>
  <c r="AW255" i="1" s="1"/>
  <c r="AK255" i="1"/>
  <c r="AJ255" i="1"/>
  <c r="AH255" i="1"/>
  <c r="AG255" i="1"/>
  <c r="AE255" i="1"/>
  <c r="AD255" i="1"/>
  <c r="AC255" i="1"/>
  <c r="AB255" i="1"/>
  <c r="Z255" i="1"/>
  <c r="J255" i="1"/>
  <c r="AL255" i="1" s="1"/>
  <c r="I255" i="1"/>
  <c r="H255" i="1"/>
  <c r="BJ253" i="1"/>
  <c r="BI253" i="1"/>
  <c r="AG253" i="1" s="1"/>
  <c r="BF253" i="1"/>
  <c r="BD253" i="1"/>
  <c r="AW253" i="1"/>
  <c r="BC253" i="1" s="1"/>
  <c r="AV253" i="1"/>
  <c r="AP253" i="1"/>
  <c r="AX253" i="1" s="1"/>
  <c r="AO253" i="1"/>
  <c r="H253" i="1" s="1"/>
  <c r="AK253" i="1"/>
  <c r="AJ253" i="1"/>
  <c r="AH253" i="1"/>
  <c r="AE253" i="1"/>
  <c r="AD253" i="1"/>
  <c r="AC253" i="1"/>
  <c r="AB253" i="1"/>
  <c r="Z253" i="1"/>
  <c r="J253" i="1"/>
  <c r="AL253" i="1" s="1"/>
  <c r="I253" i="1"/>
  <c r="BJ251" i="1"/>
  <c r="BH251" i="1"/>
  <c r="BF251" i="1"/>
  <c r="BD251" i="1"/>
  <c r="AW251" i="1"/>
  <c r="AP251" i="1"/>
  <c r="AO251" i="1"/>
  <c r="AK251" i="1"/>
  <c r="AJ251" i="1"/>
  <c r="AH251" i="1"/>
  <c r="AF251" i="1"/>
  <c r="AE251" i="1"/>
  <c r="AD251" i="1"/>
  <c r="AC251" i="1"/>
  <c r="AB251" i="1"/>
  <c r="Z251" i="1"/>
  <c r="J251" i="1"/>
  <c r="AL251" i="1" s="1"/>
  <c r="H251" i="1"/>
  <c r="BJ250" i="1"/>
  <c r="BH250" i="1"/>
  <c r="AF250" i="1" s="1"/>
  <c r="BF250" i="1"/>
  <c r="BD250" i="1"/>
  <c r="AW250" i="1"/>
  <c r="AP250" i="1"/>
  <c r="AO250" i="1"/>
  <c r="AL250" i="1"/>
  <c r="AK250" i="1"/>
  <c r="AJ250" i="1"/>
  <c r="AH250" i="1"/>
  <c r="AE250" i="1"/>
  <c r="AD250" i="1"/>
  <c r="AC250" i="1"/>
  <c r="AB250" i="1"/>
  <c r="Z250" i="1"/>
  <c r="J250" i="1"/>
  <c r="I250" i="1"/>
  <c r="H250" i="1"/>
  <c r="BJ249" i="1"/>
  <c r="BI249" i="1"/>
  <c r="AG249" i="1" s="1"/>
  <c r="BF249" i="1"/>
  <c r="BD249" i="1"/>
  <c r="AX249" i="1"/>
  <c r="AP249" i="1"/>
  <c r="AO249" i="1"/>
  <c r="AK249" i="1"/>
  <c r="AJ249" i="1"/>
  <c r="AH249" i="1"/>
  <c r="AE249" i="1"/>
  <c r="AD249" i="1"/>
  <c r="AC249" i="1"/>
  <c r="AB249" i="1"/>
  <c r="Z249" i="1"/>
  <c r="J249" i="1"/>
  <c r="AL249" i="1" s="1"/>
  <c r="I249" i="1"/>
  <c r="BJ248" i="1"/>
  <c r="BF248" i="1"/>
  <c r="BD248" i="1"/>
  <c r="AP248" i="1"/>
  <c r="AX248" i="1" s="1"/>
  <c r="AO248" i="1"/>
  <c r="AL248" i="1"/>
  <c r="AK248" i="1"/>
  <c r="AJ248" i="1"/>
  <c r="AH248" i="1"/>
  <c r="AE248" i="1"/>
  <c r="AD248" i="1"/>
  <c r="AC248" i="1"/>
  <c r="AB248" i="1"/>
  <c r="Z248" i="1"/>
  <c r="J248" i="1"/>
  <c r="I248" i="1"/>
  <c r="BJ247" i="1"/>
  <c r="BF247" i="1"/>
  <c r="BD247" i="1"/>
  <c r="AX247" i="1"/>
  <c r="BC247" i="1" s="1"/>
  <c r="AP247" i="1"/>
  <c r="BI247" i="1" s="1"/>
  <c r="AO247" i="1"/>
  <c r="AW247" i="1" s="1"/>
  <c r="AV247" i="1" s="1"/>
  <c r="AL247" i="1"/>
  <c r="AK247" i="1"/>
  <c r="AJ247" i="1"/>
  <c r="AH247" i="1"/>
  <c r="AG247" i="1"/>
  <c r="AE247" i="1"/>
  <c r="AD247" i="1"/>
  <c r="AC247" i="1"/>
  <c r="AB247" i="1"/>
  <c r="Z247" i="1"/>
  <c r="J247" i="1"/>
  <c r="I247" i="1"/>
  <c r="H247" i="1"/>
  <c r="BJ246" i="1"/>
  <c r="BF246" i="1"/>
  <c r="BD246" i="1"/>
  <c r="AW246" i="1"/>
  <c r="AP246" i="1"/>
  <c r="AX246" i="1" s="1"/>
  <c r="AO246" i="1"/>
  <c r="H246" i="1" s="1"/>
  <c r="AL246" i="1"/>
  <c r="AK246" i="1"/>
  <c r="AJ246" i="1"/>
  <c r="AH246" i="1"/>
  <c r="AE246" i="1"/>
  <c r="AD246" i="1"/>
  <c r="AC246" i="1"/>
  <c r="AB246" i="1"/>
  <c r="Z246" i="1"/>
  <c r="J246" i="1"/>
  <c r="I246" i="1"/>
  <c r="BJ244" i="1"/>
  <c r="BI244" i="1"/>
  <c r="BF244" i="1"/>
  <c r="BD244" i="1"/>
  <c r="AX244" i="1"/>
  <c r="AW244" i="1"/>
  <c r="BC244" i="1" s="1"/>
  <c r="AV244" i="1"/>
  <c r="AP244" i="1"/>
  <c r="I244" i="1" s="1"/>
  <c r="AO244" i="1"/>
  <c r="BH244" i="1" s="1"/>
  <c r="AF244" i="1" s="1"/>
  <c r="AK244" i="1"/>
  <c r="AJ244" i="1"/>
  <c r="AH244" i="1"/>
  <c r="AG244" i="1"/>
  <c r="AE244" i="1"/>
  <c r="AD244" i="1"/>
  <c r="AC244" i="1"/>
  <c r="AB244" i="1"/>
  <c r="Z244" i="1"/>
  <c r="J244" i="1"/>
  <c r="AL244" i="1" s="1"/>
  <c r="H244" i="1"/>
  <c r="BJ242" i="1"/>
  <c r="BH242" i="1"/>
  <c r="BF242" i="1"/>
  <c r="BD242" i="1"/>
  <c r="AW242" i="1"/>
  <c r="AP242" i="1"/>
  <c r="AO242" i="1"/>
  <c r="AL242" i="1"/>
  <c r="AK242" i="1"/>
  <c r="AJ242" i="1"/>
  <c r="AH242" i="1"/>
  <c r="AG242" i="1"/>
  <c r="AF242" i="1"/>
  <c r="AE242" i="1"/>
  <c r="AD242" i="1"/>
  <c r="AC242" i="1"/>
  <c r="AB242" i="1"/>
  <c r="Z242" i="1"/>
  <c r="J242" i="1"/>
  <c r="H242" i="1"/>
  <c r="BJ241" i="1"/>
  <c r="Z241" i="1" s="1"/>
  <c r="BI241" i="1"/>
  <c r="BH241" i="1"/>
  <c r="BF241" i="1"/>
  <c r="BD241" i="1"/>
  <c r="AX241" i="1"/>
  <c r="AW241" i="1"/>
  <c r="BC241" i="1" s="1"/>
  <c r="AP241" i="1"/>
  <c r="AO241" i="1"/>
  <c r="AK241" i="1"/>
  <c r="AT240" i="1" s="1"/>
  <c r="AJ241" i="1"/>
  <c r="AH241" i="1"/>
  <c r="AG241" i="1"/>
  <c r="AF241" i="1"/>
  <c r="AE241" i="1"/>
  <c r="AD241" i="1"/>
  <c r="AC241" i="1"/>
  <c r="AB241" i="1"/>
  <c r="J241" i="1"/>
  <c r="AL241" i="1" s="1"/>
  <c r="I241" i="1"/>
  <c r="H241" i="1"/>
  <c r="H240" i="1" s="1"/>
  <c r="AU240" i="1"/>
  <c r="J240" i="1"/>
  <c r="BJ238" i="1"/>
  <c r="BF238" i="1"/>
  <c r="BD238" i="1"/>
  <c r="AP238" i="1"/>
  <c r="AO238" i="1"/>
  <c r="AK238" i="1"/>
  <c r="AJ238" i="1"/>
  <c r="AH238" i="1"/>
  <c r="AG238" i="1"/>
  <c r="AF238" i="1"/>
  <c r="AE238" i="1"/>
  <c r="AD238" i="1"/>
  <c r="Z238" i="1"/>
  <c r="J238" i="1"/>
  <c r="AL238" i="1" s="1"/>
  <c r="I238" i="1"/>
  <c r="BJ235" i="1"/>
  <c r="BF235" i="1"/>
  <c r="BD235" i="1"/>
  <c r="AX235" i="1"/>
  <c r="AV235" i="1" s="1"/>
  <c r="AP235" i="1"/>
  <c r="BI235" i="1" s="1"/>
  <c r="AC235" i="1" s="1"/>
  <c r="AO235" i="1"/>
  <c r="AW235" i="1" s="1"/>
  <c r="AL235" i="1"/>
  <c r="AK235" i="1"/>
  <c r="AT228" i="1" s="1"/>
  <c r="AJ235" i="1"/>
  <c r="AH235" i="1"/>
  <c r="AG235" i="1"/>
  <c r="AF235" i="1"/>
  <c r="AE235" i="1"/>
  <c r="AD235" i="1"/>
  <c r="Z235" i="1"/>
  <c r="J235" i="1"/>
  <c r="I235" i="1"/>
  <c r="H235" i="1"/>
  <c r="BJ233" i="1"/>
  <c r="BH233" i="1"/>
  <c r="AB233" i="1" s="1"/>
  <c r="BF233" i="1"/>
  <c r="BD233" i="1"/>
  <c r="AW233" i="1"/>
  <c r="AP233" i="1"/>
  <c r="AO233" i="1"/>
  <c r="H233" i="1" s="1"/>
  <c r="AK233" i="1"/>
  <c r="AJ233" i="1"/>
  <c r="AS228" i="1" s="1"/>
  <c r="AH233" i="1"/>
  <c r="AG233" i="1"/>
  <c r="AF233" i="1"/>
  <c r="AE233" i="1"/>
  <c r="AD233" i="1"/>
  <c r="Z233" i="1"/>
  <c r="J233" i="1"/>
  <c r="AL233" i="1" s="1"/>
  <c r="BJ231" i="1"/>
  <c r="BF231" i="1"/>
  <c r="BD231" i="1"/>
  <c r="AW231" i="1"/>
  <c r="AP231" i="1"/>
  <c r="AO231" i="1"/>
  <c r="H231" i="1" s="1"/>
  <c r="AK231" i="1"/>
  <c r="AJ231" i="1"/>
  <c r="AH231" i="1"/>
  <c r="AG231" i="1"/>
  <c r="AF231" i="1"/>
  <c r="AE231" i="1"/>
  <c r="AD231" i="1"/>
  <c r="Z231" i="1"/>
  <c r="J231" i="1"/>
  <c r="AL231" i="1" s="1"/>
  <c r="BJ229" i="1"/>
  <c r="BH229" i="1"/>
  <c r="AB229" i="1" s="1"/>
  <c r="BF229" i="1"/>
  <c r="BD229" i="1"/>
  <c r="AW229" i="1"/>
  <c r="AP229" i="1"/>
  <c r="AO229" i="1"/>
  <c r="H229" i="1" s="1"/>
  <c r="AK229" i="1"/>
  <c r="AJ229" i="1"/>
  <c r="AH229" i="1"/>
  <c r="AG229" i="1"/>
  <c r="AF229" i="1"/>
  <c r="AE229" i="1"/>
  <c r="AD229" i="1"/>
  <c r="Z229" i="1"/>
  <c r="J229" i="1"/>
  <c r="BJ226" i="1"/>
  <c r="BH226" i="1"/>
  <c r="AB226" i="1" s="1"/>
  <c r="BF226" i="1"/>
  <c r="BD226" i="1"/>
  <c r="AW226" i="1"/>
  <c r="AP226" i="1"/>
  <c r="AO226" i="1"/>
  <c r="AK226" i="1"/>
  <c r="AJ226" i="1"/>
  <c r="AH226" i="1"/>
  <c r="AG226" i="1"/>
  <c r="AF226" i="1"/>
  <c r="AE226" i="1"/>
  <c r="AD226" i="1"/>
  <c r="Z226" i="1"/>
  <c r="J226" i="1"/>
  <c r="AL226" i="1" s="1"/>
  <c r="H226" i="1"/>
  <c r="BJ224" i="1"/>
  <c r="BI224" i="1"/>
  <c r="BH224" i="1"/>
  <c r="BF224" i="1"/>
  <c r="BD224" i="1"/>
  <c r="BC224" i="1"/>
  <c r="AX224" i="1"/>
  <c r="AW224" i="1"/>
  <c r="AV224" i="1" s="1"/>
  <c r="AP224" i="1"/>
  <c r="AO224" i="1"/>
  <c r="AL224" i="1"/>
  <c r="AK224" i="1"/>
  <c r="AJ224" i="1"/>
  <c r="AH224" i="1"/>
  <c r="AG224" i="1"/>
  <c r="AF224" i="1"/>
  <c r="AE224" i="1"/>
  <c r="AD224" i="1"/>
  <c r="AC224" i="1"/>
  <c r="AB224" i="1"/>
  <c r="Z224" i="1"/>
  <c r="J224" i="1"/>
  <c r="I224" i="1"/>
  <c r="H224" i="1"/>
  <c r="BJ222" i="1"/>
  <c r="BI222" i="1"/>
  <c r="AC222" i="1" s="1"/>
  <c r="BF222" i="1"/>
  <c r="BD222" i="1"/>
  <c r="AX222" i="1"/>
  <c r="AW222" i="1"/>
  <c r="AP222" i="1"/>
  <c r="AO222" i="1"/>
  <c r="BH222" i="1" s="1"/>
  <c r="AB222" i="1" s="1"/>
  <c r="AL222" i="1"/>
  <c r="AK222" i="1"/>
  <c r="AJ222" i="1"/>
  <c r="AH222" i="1"/>
  <c r="AG222" i="1"/>
  <c r="AF222" i="1"/>
  <c r="AE222" i="1"/>
  <c r="AD222" i="1"/>
  <c r="Z222" i="1"/>
  <c r="J222" i="1"/>
  <c r="I222" i="1"/>
  <c r="H222" i="1"/>
  <c r="BJ220" i="1"/>
  <c r="BF220" i="1"/>
  <c r="BD220" i="1"/>
  <c r="AX220" i="1"/>
  <c r="AP220" i="1"/>
  <c r="BI220" i="1" s="1"/>
  <c r="AC220" i="1" s="1"/>
  <c r="AO220" i="1"/>
  <c r="AK220" i="1"/>
  <c r="AJ220" i="1"/>
  <c r="AH220" i="1"/>
  <c r="AG220" i="1"/>
  <c r="AF220" i="1"/>
  <c r="AE220" i="1"/>
  <c r="AD220" i="1"/>
  <c r="Z220" i="1"/>
  <c r="J220" i="1"/>
  <c r="AL220" i="1" s="1"/>
  <c r="I220" i="1"/>
  <c r="BJ218" i="1"/>
  <c r="BF218" i="1"/>
  <c r="BD218" i="1"/>
  <c r="AP218" i="1"/>
  <c r="AO218" i="1"/>
  <c r="AL218" i="1"/>
  <c r="AK218" i="1"/>
  <c r="AJ218" i="1"/>
  <c r="AH218" i="1"/>
  <c r="AG218" i="1"/>
  <c r="AF218" i="1"/>
  <c r="AE218" i="1"/>
  <c r="AD218" i="1"/>
  <c r="Z218" i="1"/>
  <c r="J218" i="1"/>
  <c r="I218" i="1"/>
  <c r="BJ216" i="1"/>
  <c r="BI216" i="1"/>
  <c r="AC216" i="1" s="1"/>
  <c r="BH216" i="1"/>
  <c r="AB216" i="1" s="1"/>
  <c r="BF216" i="1"/>
  <c r="BD216" i="1"/>
  <c r="AP216" i="1"/>
  <c r="AO216" i="1"/>
  <c r="AK216" i="1"/>
  <c r="AJ216" i="1"/>
  <c r="AH216" i="1"/>
  <c r="AG216" i="1"/>
  <c r="AF216" i="1"/>
  <c r="AE216" i="1"/>
  <c r="AD216" i="1"/>
  <c r="Z216" i="1"/>
  <c r="J216" i="1"/>
  <c r="AL216" i="1" s="1"/>
  <c r="BJ214" i="1"/>
  <c r="BI214" i="1"/>
  <c r="BH214" i="1"/>
  <c r="BF214" i="1"/>
  <c r="BD214" i="1"/>
  <c r="AX214" i="1"/>
  <c r="AW214" i="1"/>
  <c r="BC214" i="1" s="1"/>
  <c r="AV214" i="1"/>
  <c r="AP214" i="1"/>
  <c r="I214" i="1" s="1"/>
  <c r="AO214" i="1"/>
  <c r="AK214" i="1"/>
  <c r="AJ214" i="1"/>
  <c r="AH214" i="1"/>
  <c r="AG214" i="1"/>
  <c r="AF214" i="1"/>
  <c r="AE214" i="1"/>
  <c r="AD214" i="1"/>
  <c r="AC214" i="1"/>
  <c r="AB214" i="1"/>
  <c r="Z214" i="1"/>
  <c r="J214" i="1"/>
  <c r="AL214" i="1" s="1"/>
  <c r="H214" i="1"/>
  <c r="BJ212" i="1"/>
  <c r="BI212" i="1"/>
  <c r="BH212" i="1"/>
  <c r="BF212" i="1"/>
  <c r="BD212" i="1"/>
  <c r="AX212" i="1"/>
  <c r="AW212" i="1"/>
  <c r="AP212" i="1"/>
  <c r="AO212" i="1"/>
  <c r="AL212" i="1"/>
  <c r="AK212" i="1"/>
  <c r="AJ212" i="1"/>
  <c r="AH212" i="1"/>
  <c r="AG212" i="1"/>
  <c r="AF212" i="1"/>
  <c r="AE212" i="1"/>
  <c r="AD212" i="1"/>
  <c r="AC212" i="1"/>
  <c r="AB212" i="1"/>
  <c r="Z212" i="1"/>
  <c r="J212" i="1"/>
  <c r="I212" i="1"/>
  <c r="H212" i="1"/>
  <c r="BJ210" i="1"/>
  <c r="BI210" i="1"/>
  <c r="AC210" i="1" s="1"/>
  <c r="BF210" i="1"/>
  <c r="BD210" i="1"/>
  <c r="AX210" i="1"/>
  <c r="AP210" i="1"/>
  <c r="AO210" i="1"/>
  <c r="AK210" i="1"/>
  <c r="AJ210" i="1"/>
  <c r="AH210" i="1"/>
  <c r="AG210" i="1"/>
  <c r="AF210" i="1"/>
  <c r="AE210" i="1"/>
  <c r="AD210" i="1"/>
  <c r="Z210" i="1"/>
  <c r="J210" i="1"/>
  <c r="AL210" i="1" s="1"/>
  <c r="I210" i="1"/>
  <c r="BJ208" i="1"/>
  <c r="BF208" i="1"/>
  <c r="BD208" i="1"/>
  <c r="AP208" i="1"/>
  <c r="AO208" i="1"/>
  <c r="AK208" i="1"/>
  <c r="AJ208" i="1"/>
  <c r="AH208" i="1"/>
  <c r="AG208" i="1"/>
  <c r="AF208" i="1"/>
  <c r="AE208" i="1"/>
  <c r="AD208" i="1"/>
  <c r="Z208" i="1"/>
  <c r="J208" i="1"/>
  <c r="AL208" i="1" s="1"/>
  <c r="H208" i="1"/>
  <c r="BJ206" i="1"/>
  <c r="BI206" i="1"/>
  <c r="BF206" i="1"/>
  <c r="BD206" i="1"/>
  <c r="BC206" i="1"/>
  <c r="AW206" i="1"/>
  <c r="AV206" i="1"/>
  <c r="AP206" i="1"/>
  <c r="AX206" i="1" s="1"/>
  <c r="AO206" i="1"/>
  <c r="AK206" i="1"/>
  <c r="AJ206" i="1"/>
  <c r="AH206" i="1"/>
  <c r="AG206" i="1"/>
  <c r="AF206" i="1"/>
  <c r="AE206" i="1"/>
  <c r="AD206" i="1"/>
  <c r="AC206" i="1"/>
  <c r="Z206" i="1"/>
  <c r="J206" i="1"/>
  <c r="I206" i="1"/>
  <c r="AT205" i="1"/>
  <c r="AS205" i="1"/>
  <c r="BJ203" i="1"/>
  <c r="BF203" i="1"/>
  <c r="BD203" i="1"/>
  <c r="AX203" i="1"/>
  <c r="AV203" i="1"/>
  <c r="AP203" i="1"/>
  <c r="I203" i="1" s="1"/>
  <c r="AO203" i="1"/>
  <c r="AW203" i="1" s="1"/>
  <c r="AK203" i="1"/>
  <c r="AJ203" i="1"/>
  <c r="AH203" i="1"/>
  <c r="AG203" i="1"/>
  <c r="AF203" i="1"/>
  <c r="AE203" i="1"/>
  <c r="AD203" i="1"/>
  <c r="Z203" i="1"/>
  <c r="J203" i="1"/>
  <c r="AL203" i="1" s="1"/>
  <c r="BJ201" i="1"/>
  <c r="BI201" i="1"/>
  <c r="AC201" i="1" s="1"/>
  <c r="BH201" i="1"/>
  <c r="BF201" i="1"/>
  <c r="BD201" i="1"/>
  <c r="AW201" i="1"/>
  <c r="AP201" i="1"/>
  <c r="AX201" i="1" s="1"/>
  <c r="AO201" i="1"/>
  <c r="AL201" i="1"/>
  <c r="AK201" i="1"/>
  <c r="AJ201" i="1"/>
  <c r="AH201" i="1"/>
  <c r="AG201" i="1"/>
  <c r="AF201" i="1"/>
  <c r="AE201" i="1"/>
  <c r="AD201" i="1"/>
  <c r="AB201" i="1"/>
  <c r="Z201" i="1"/>
  <c r="J201" i="1"/>
  <c r="I201" i="1"/>
  <c r="H201" i="1"/>
  <c r="BJ200" i="1"/>
  <c r="BI200" i="1"/>
  <c r="BH200" i="1"/>
  <c r="BF200" i="1"/>
  <c r="BD200" i="1"/>
  <c r="AX200" i="1"/>
  <c r="AP200" i="1"/>
  <c r="AO200" i="1"/>
  <c r="AW200" i="1" s="1"/>
  <c r="AK200" i="1"/>
  <c r="AJ200" i="1"/>
  <c r="AH200" i="1"/>
  <c r="AG200" i="1"/>
  <c r="AF200" i="1"/>
  <c r="AE200" i="1"/>
  <c r="AD200" i="1"/>
  <c r="AC200" i="1"/>
  <c r="AB200" i="1"/>
  <c r="Z200" i="1"/>
  <c r="J200" i="1"/>
  <c r="AL200" i="1" s="1"/>
  <c r="I200" i="1"/>
  <c r="H200" i="1"/>
  <c r="BJ199" i="1"/>
  <c r="BF199" i="1"/>
  <c r="BD199" i="1"/>
  <c r="AP199" i="1"/>
  <c r="AX199" i="1" s="1"/>
  <c r="AO199" i="1"/>
  <c r="AL199" i="1"/>
  <c r="AU193" i="1" s="1"/>
  <c r="AK199" i="1"/>
  <c r="AJ199" i="1"/>
  <c r="AH199" i="1"/>
  <c r="AG199" i="1"/>
  <c r="AF199" i="1"/>
  <c r="AE199" i="1"/>
  <c r="AD199" i="1"/>
  <c r="Z199" i="1"/>
  <c r="J199" i="1"/>
  <c r="I199" i="1"/>
  <c r="H199" i="1"/>
  <c r="BJ198" i="1"/>
  <c r="BH198" i="1"/>
  <c r="AB198" i="1" s="1"/>
  <c r="BF198" i="1"/>
  <c r="BD198" i="1"/>
  <c r="BC198" i="1"/>
  <c r="AX198" i="1"/>
  <c r="AP198" i="1"/>
  <c r="BI198" i="1" s="1"/>
  <c r="AO198" i="1"/>
  <c r="AW198" i="1" s="1"/>
  <c r="AL198" i="1"/>
  <c r="AK198" i="1"/>
  <c r="AJ198" i="1"/>
  <c r="AS193" i="1" s="1"/>
  <c r="AH198" i="1"/>
  <c r="AG198" i="1"/>
  <c r="AF198" i="1"/>
  <c r="AE198" i="1"/>
  <c r="AD198" i="1"/>
  <c r="AC198" i="1"/>
  <c r="Z198" i="1"/>
  <c r="J198" i="1"/>
  <c r="I198" i="1"/>
  <c r="H198" i="1"/>
  <c r="BJ196" i="1"/>
  <c r="BH196" i="1"/>
  <c r="AB196" i="1" s="1"/>
  <c r="BF196" i="1"/>
  <c r="BD196" i="1"/>
  <c r="AX196" i="1"/>
  <c r="AP196" i="1"/>
  <c r="BI196" i="1" s="1"/>
  <c r="AC196" i="1" s="1"/>
  <c r="AO196" i="1"/>
  <c r="AK196" i="1"/>
  <c r="AJ196" i="1"/>
  <c r="AH196" i="1"/>
  <c r="AG196" i="1"/>
  <c r="AF196" i="1"/>
  <c r="AE196" i="1"/>
  <c r="AD196" i="1"/>
  <c r="Z196" i="1"/>
  <c r="J196" i="1"/>
  <c r="AL196" i="1" s="1"/>
  <c r="I196" i="1"/>
  <c r="BJ194" i="1"/>
  <c r="BI194" i="1"/>
  <c r="AC194" i="1" s="1"/>
  <c r="BF194" i="1"/>
  <c r="BD194" i="1"/>
  <c r="AP194" i="1"/>
  <c r="AX194" i="1" s="1"/>
  <c r="AO194" i="1"/>
  <c r="AL194" i="1"/>
  <c r="AK194" i="1"/>
  <c r="AJ194" i="1"/>
  <c r="AH194" i="1"/>
  <c r="AG194" i="1"/>
  <c r="AF194" i="1"/>
  <c r="AE194" i="1"/>
  <c r="AD194" i="1"/>
  <c r="Z194" i="1"/>
  <c r="J194" i="1"/>
  <c r="I194" i="1"/>
  <c r="BJ191" i="1"/>
  <c r="BH191" i="1"/>
  <c r="BF191" i="1"/>
  <c r="BD191" i="1"/>
  <c r="AX191" i="1"/>
  <c r="AP191" i="1"/>
  <c r="AO191" i="1"/>
  <c r="AK191" i="1"/>
  <c r="AJ191" i="1"/>
  <c r="AH191" i="1"/>
  <c r="AG191" i="1"/>
  <c r="AF191" i="1"/>
  <c r="AE191" i="1"/>
  <c r="AD191" i="1"/>
  <c r="AB191" i="1"/>
  <c r="Z191" i="1"/>
  <c r="J191" i="1"/>
  <c r="AL191" i="1" s="1"/>
  <c r="BJ190" i="1"/>
  <c r="BH190" i="1"/>
  <c r="AB190" i="1" s="1"/>
  <c r="BF190" i="1"/>
  <c r="BD190" i="1"/>
  <c r="AW190" i="1"/>
  <c r="AP190" i="1"/>
  <c r="AO190" i="1"/>
  <c r="AL190" i="1"/>
  <c r="AK190" i="1"/>
  <c r="AJ190" i="1"/>
  <c r="AH190" i="1"/>
  <c r="AG190" i="1"/>
  <c r="AF190" i="1"/>
  <c r="AE190" i="1"/>
  <c r="AD190" i="1"/>
  <c r="Z190" i="1"/>
  <c r="J190" i="1"/>
  <c r="H190" i="1"/>
  <c r="BJ188" i="1"/>
  <c r="BI188" i="1"/>
  <c r="AC188" i="1" s="1"/>
  <c r="BF188" i="1"/>
  <c r="BD188" i="1"/>
  <c r="AX188" i="1"/>
  <c r="AW188" i="1"/>
  <c r="BC188" i="1" s="1"/>
  <c r="AV188" i="1"/>
  <c r="AP188" i="1"/>
  <c r="AO188" i="1"/>
  <c r="H188" i="1" s="1"/>
  <c r="AK188" i="1"/>
  <c r="AJ188" i="1"/>
  <c r="AS185" i="1" s="1"/>
  <c r="AH188" i="1"/>
  <c r="AG188" i="1"/>
  <c r="AF188" i="1"/>
  <c r="AE188" i="1"/>
  <c r="AD188" i="1"/>
  <c r="Z188" i="1"/>
  <c r="J188" i="1"/>
  <c r="I188" i="1"/>
  <c r="BJ186" i="1"/>
  <c r="BI186" i="1"/>
  <c r="AC186" i="1" s="1"/>
  <c r="BF186" i="1"/>
  <c r="BD186" i="1"/>
  <c r="BC186" i="1"/>
  <c r="AW186" i="1"/>
  <c r="AP186" i="1"/>
  <c r="AX186" i="1" s="1"/>
  <c r="AO186" i="1"/>
  <c r="BH186" i="1" s="1"/>
  <c r="AB186" i="1" s="1"/>
  <c r="AL186" i="1"/>
  <c r="AK186" i="1"/>
  <c r="AJ186" i="1"/>
  <c r="AH186" i="1"/>
  <c r="AG186" i="1"/>
  <c r="AF186" i="1"/>
  <c r="AE186" i="1"/>
  <c r="AD186" i="1"/>
  <c r="Z186" i="1"/>
  <c r="J186" i="1"/>
  <c r="I186" i="1"/>
  <c r="H186" i="1"/>
  <c r="BJ183" i="1"/>
  <c r="BF183" i="1"/>
  <c r="BD183" i="1"/>
  <c r="AX183" i="1"/>
  <c r="AP183" i="1"/>
  <c r="BI183" i="1" s="1"/>
  <c r="AC183" i="1" s="1"/>
  <c r="AO183" i="1"/>
  <c r="BH183" i="1" s="1"/>
  <c r="AB183" i="1" s="1"/>
  <c r="AK183" i="1"/>
  <c r="AT180" i="1" s="1"/>
  <c r="AJ183" i="1"/>
  <c r="AH183" i="1"/>
  <c r="AG183" i="1"/>
  <c r="AF183" i="1"/>
  <c r="AE183" i="1"/>
  <c r="AD183" i="1"/>
  <c r="Z183" i="1"/>
  <c r="J183" i="1"/>
  <c r="AL183" i="1" s="1"/>
  <c r="I183" i="1"/>
  <c r="BJ181" i="1"/>
  <c r="BI181" i="1"/>
  <c r="BF181" i="1"/>
  <c r="BD181" i="1"/>
  <c r="AP181" i="1"/>
  <c r="AX181" i="1" s="1"/>
  <c r="AO181" i="1"/>
  <c r="AL181" i="1"/>
  <c r="AK181" i="1"/>
  <c r="AJ181" i="1"/>
  <c r="AS180" i="1" s="1"/>
  <c r="AH181" i="1"/>
  <c r="AG181" i="1"/>
  <c r="AF181" i="1"/>
  <c r="AE181" i="1"/>
  <c r="AD181" i="1"/>
  <c r="AC181" i="1"/>
  <c r="Z181" i="1"/>
  <c r="J181" i="1"/>
  <c r="I181" i="1"/>
  <c r="I180" i="1" s="1"/>
  <c r="AU180" i="1"/>
  <c r="J180" i="1"/>
  <c r="BJ178" i="1"/>
  <c r="BH178" i="1"/>
  <c r="BF178" i="1"/>
  <c r="BD178" i="1"/>
  <c r="AP178" i="1"/>
  <c r="AO178" i="1"/>
  <c r="AW178" i="1" s="1"/>
  <c r="AK178" i="1"/>
  <c r="AJ178" i="1"/>
  <c r="AH178" i="1"/>
  <c r="AG178" i="1"/>
  <c r="AF178" i="1"/>
  <c r="AE178" i="1"/>
  <c r="AD178" i="1"/>
  <c r="AB178" i="1"/>
  <c r="Z178" i="1"/>
  <c r="J178" i="1"/>
  <c r="AL178" i="1" s="1"/>
  <c r="H178" i="1"/>
  <c r="BJ176" i="1"/>
  <c r="BH176" i="1"/>
  <c r="AB176" i="1" s="1"/>
  <c r="BF176" i="1"/>
  <c r="BD176" i="1"/>
  <c r="AW176" i="1"/>
  <c r="AP176" i="1"/>
  <c r="BI176" i="1" s="1"/>
  <c r="AC176" i="1" s="1"/>
  <c r="AO176" i="1"/>
  <c r="AL176" i="1"/>
  <c r="AK176" i="1"/>
  <c r="AJ176" i="1"/>
  <c r="AH176" i="1"/>
  <c r="AG176" i="1"/>
  <c r="AF176" i="1"/>
  <c r="AE176" i="1"/>
  <c r="AD176" i="1"/>
  <c r="Z176" i="1"/>
  <c r="J176" i="1"/>
  <c r="H176" i="1"/>
  <c r="BJ174" i="1"/>
  <c r="BI174" i="1"/>
  <c r="BF174" i="1"/>
  <c r="BD174" i="1"/>
  <c r="AX174" i="1"/>
  <c r="AW174" i="1"/>
  <c r="AP174" i="1"/>
  <c r="AO174" i="1"/>
  <c r="H174" i="1" s="1"/>
  <c r="AK174" i="1"/>
  <c r="AJ174" i="1"/>
  <c r="AS171" i="1" s="1"/>
  <c r="AH174" i="1"/>
  <c r="AG174" i="1"/>
  <c r="AF174" i="1"/>
  <c r="AE174" i="1"/>
  <c r="AD174" i="1"/>
  <c r="AC174" i="1"/>
  <c r="Z174" i="1"/>
  <c r="J174" i="1"/>
  <c r="I174" i="1"/>
  <c r="BJ172" i="1"/>
  <c r="BF172" i="1"/>
  <c r="BD172" i="1"/>
  <c r="AW172" i="1"/>
  <c r="AP172" i="1"/>
  <c r="AO172" i="1"/>
  <c r="BH172" i="1" s="1"/>
  <c r="AB172" i="1" s="1"/>
  <c r="AL172" i="1"/>
  <c r="AK172" i="1"/>
  <c r="AJ172" i="1"/>
  <c r="AH172" i="1"/>
  <c r="AG172" i="1"/>
  <c r="AF172" i="1"/>
  <c r="AE172" i="1"/>
  <c r="AD172" i="1"/>
  <c r="Z172" i="1"/>
  <c r="J172" i="1"/>
  <c r="I172" i="1"/>
  <c r="H172" i="1"/>
  <c r="H171" i="1" s="1"/>
  <c r="BJ169" i="1"/>
  <c r="BH169" i="1"/>
  <c r="AD169" i="1" s="1"/>
  <c r="BF169" i="1"/>
  <c r="BD169" i="1"/>
  <c r="AX169" i="1"/>
  <c r="AV169" i="1"/>
  <c r="AP169" i="1"/>
  <c r="BI169" i="1" s="1"/>
  <c r="AE169" i="1" s="1"/>
  <c r="AO169" i="1"/>
  <c r="AW169" i="1" s="1"/>
  <c r="BC169" i="1" s="1"/>
  <c r="AK169" i="1"/>
  <c r="AT159" i="1" s="1"/>
  <c r="AJ169" i="1"/>
  <c r="AH169" i="1"/>
  <c r="AG169" i="1"/>
  <c r="AF169" i="1"/>
  <c r="AC169" i="1"/>
  <c r="AB169" i="1"/>
  <c r="Z169" i="1"/>
  <c r="J169" i="1"/>
  <c r="AL169" i="1" s="1"/>
  <c r="I169" i="1"/>
  <c r="H169" i="1"/>
  <c r="BJ168" i="1"/>
  <c r="BF168" i="1"/>
  <c r="BD168" i="1"/>
  <c r="AW168" i="1"/>
  <c r="AP168" i="1"/>
  <c r="AX168" i="1" s="1"/>
  <c r="AO168" i="1"/>
  <c r="AK168" i="1"/>
  <c r="AJ168" i="1"/>
  <c r="AH168" i="1"/>
  <c r="AG168" i="1"/>
  <c r="AF168" i="1"/>
  <c r="AC168" i="1"/>
  <c r="AB168" i="1"/>
  <c r="Z168" i="1"/>
  <c r="J168" i="1"/>
  <c r="AL168" i="1" s="1"/>
  <c r="I168" i="1"/>
  <c r="BJ162" i="1"/>
  <c r="BF162" i="1"/>
  <c r="BD162" i="1"/>
  <c r="AX162" i="1"/>
  <c r="AV162" i="1"/>
  <c r="AP162" i="1"/>
  <c r="AO162" i="1"/>
  <c r="AW162" i="1" s="1"/>
  <c r="AK162" i="1"/>
  <c r="AJ162" i="1"/>
  <c r="AH162" i="1"/>
  <c r="AG162" i="1"/>
  <c r="AF162" i="1"/>
  <c r="AC162" i="1"/>
  <c r="AB162" i="1"/>
  <c r="Z162" i="1"/>
  <c r="J162" i="1"/>
  <c r="BJ160" i="1"/>
  <c r="BH160" i="1"/>
  <c r="AD160" i="1" s="1"/>
  <c r="BF160" i="1"/>
  <c r="BD160" i="1"/>
  <c r="AW160" i="1"/>
  <c r="AP160" i="1"/>
  <c r="AO160" i="1"/>
  <c r="AL160" i="1"/>
  <c r="AK160" i="1"/>
  <c r="AJ160" i="1"/>
  <c r="AS159" i="1" s="1"/>
  <c r="AH160" i="1"/>
  <c r="AG160" i="1"/>
  <c r="AF160" i="1"/>
  <c r="AC160" i="1"/>
  <c r="AB160" i="1"/>
  <c r="Z160" i="1"/>
  <c r="J160" i="1"/>
  <c r="I160" i="1"/>
  <c r="H160" i="1"/>
  <c r="BJ158" i="1"/>
  <c r="Z158" i="1" s="1"/>
  <c r="BI158" i="1"/>
  <c r="BH158" i="1"/>
  <c r="BF158" i="1"/>
  <c r="BD158" i="1"/>
  <c r="AX158" i="1"/>
  <c r="AP158" i="1"/>
  <c r="AO158" i="1"/>
  <c r="AW158" i="1" s="1"/>
  <c r="AK158" i="1"/>
  <c r="AJ158" i="1"/>
  <c r="AH158" i="1"/>
  <c r="AG158" i="1"/>
  <c r="AF158" i="1"/>
  <c r="AE158" i="1"/>
  <c r="AD158" i="1"/>
  <c r="AC158" i="1"/>
  <c r="AB158" i="1"/>
  <c r="J158" i="1"/>
  <c r="AL158" i="1" s="1"/>
  <c r="I158" i="1"/>
  <c r="H158" i="1"/>
  <c r="BJ156" i="1"/>
  <c r="BF156" i="1"/>
  <c r="BD156" i="1"/>
  <c r="BC156" i="1"/>
  <c r="AX156" i="1"/>
  <c r="AW156" i="1"/>
  <c r="AP156" i="1"/>
  <c r="BI156" i="1" s="1"/>
  <c r="AE156" i="1" s="1"/>
  <c r="AO156" i="1"/>
  <c r="BH156" i="1" s="1"/>
  <c r="AL156" i="1"/>
  <c r="AK156" i="1"/>
  <c r="AJ156" i="1"/>
  <c r="AH156" i="1"/>
  <c r="AG156" i="1"/>
  <c r="AF156" i="1"/>
  <c r="AD156" i="1"/>
  <c r="AC156" i="1"/>
  <c r="AB156" i="1"/>
  <c r="Z156" i="1"/>
  <c r="J156" i="1"/>
  <c r="I156" i="1"/>
  <c r="H156" i="1"/>
  <c r="BJ153" i="1"/>
  <c r="BF153" i="1"/>
  <c r="BD153" i="1"/>
  <c r="AX153" i="1"/>
  <c r="AP153" i="1"/>
  <c r="BI153" i="1" s="1"/>
  <c r="AO153" i="1"/>
  <c r="AK153" i="1"/>
  <c r="AJ153" i="1"/>
  <c r="AH153" i="1"/>
  <c r="AG153" i="1"/>
  <c r="AF153" i="1"/>
  <c r="AE153" i="1"/>
  <c r="AC153" i="1"/>
  <c r="AB153" i="1"/>
  <c r="Z153" i="1"/>
  <c r="J153" i="1"/>
  <c r="AL153" i="1" s="1"/>
  <c r="I153" i="1"/>
  <c r="BJ151" i="1"/>
  <c r="BI151" i="1"/>
  <c r="AE151" i="1" s="1"/>
  <c r="BF151" i="1"/>
  <c r="BD151" i="1"/>
  <c r="AP151" i="1"/>
  <c r="AX151" i="1" s="1"/>
  <c r="AO151" i="1"/>
  <c r="AK151" i="1"/>
  <c r="AJ151" i="1"/>
  <c r="AH151" i="1"/>
  <c r="AG151" i="1"/>
  <c r="AF151" i="1"/>
  <c r="AC151" i="1"/>
  <c r="AB151" i="1"/>
  <c r="Z151" i="1"/>
  <c r="J151" i="1"/>
  <c r="AL151" i="1" s="1"/>
  <c r="BJ149" i="1"/>
  <c r="BH149" i="1"/>
  <c r="AD149" i="1" s="1"/>
  <c r="BF149" i="1"/>
  <c r="BD149" i="1"/>
  <c r="AX149" i="1"/>
  <c r="AP149" i="1"/>
  <c r="AO149" i="1"/>
  <c r="AK149" i="1"/>
  <c r="AJ149" i="1"/>
  <c r="AH149" i="1"/>
  <c r="AG149" i="1"/>
  <c r="AF149" i="1"/>
  <c r="AC149" i="1"/>
  <c r="AB149" i="1"/>
  <c r="Z149" i="1"/>
  <c r="J149" i="1"/>
  <c r="AL149" i="1" s="1"/>
  <c r="BJ146" i="1"/>
  <c r="BI146" i="1"/>
  <c r="BH146" i="1"/>
  <c r="AD146" i="1" s="1"/>
  <c r="BF146" i="1"/>
  <c r="BD146" i="1"/>
  <c r="AW146" i="1"/>
  <c r="AP146" i="1"/>
  <c r="AX146" i="1" s="1"/>
  <c r="AV146" i="1" s="1"/>
  <c r="AO146" i="1"/>
  <c r="AL146" i="1"/>
  <c r="AK146" i="1"/>
  <c r="AJ146" i="1"/>
  <c r="AH146" i="1"/>
  <c r="AG146" i="1"/>
  <c r="AF146" i="1"/>
  <c r="AE146" i="1"/>
  <c r="AC146" i="1"/>
  <c r="AB146" i="1"/>
  <c r="Z146" i="1"/>
  <c r="J146" i="1"/>
  <c r="I146" i="1"/>
  <c r="H146" i="1"/>
  <c r="BJ143" i="1"/>
  <c r="BI143" i="1"/>
  <c r="AE143" i="1" s="1"/>
  <c r="BF143" i="1"/>
  <c r="BD143" i="1"/>
  <c r="AX143" i="1"/>
  <c r="AP143" i="1"/>
  <c r="AO143" i="1"/>
  <c r="AW143" i="1" s="1"/>
  <c r="AK143" i="1"/>
  <c r="AJ143" i="1"/>
  <c r="AS140" i="1" s="1"/>
  <c r="AH143" i="1"/>
  <c r="AG143" i="1"/>
  <c r="AF143" i="1"/>
  <c r="AC143" i="1"/>
  <c r="AB143" i="1"/>
  <c r="Z143" i="1"/>
  <c r="J143" i="1"/>
  <c r="I143" i="1"/>
  <c r="H143" i="1"/>
  <c r="BJ141" i="1"/>
  <c r="BF141" i="1"/>
  <c r="BD141" i="1"/>
  <c r="AW141" i="1"/>
  <c r="AP141" i="1"/>
  <c r="BI141" i="1" s="1"/>
  <c r="AE141" i="1" s="1"/>
  <c r="AO141" i="1"/>
  <c r="BH141" i="1" s="1"/>
  <c r="AL141" i="1"/>
  <c r="AK141" i="1"/>
  <c r="AJ141" i="1"/>
  <c r="AH141" i="1"/>
  <c r="AG141" i="1"/>
  <c r="AF141" i="1"/>
  <c r="AD141" i="1"/>
  <c r="AC141" i="1"/>
  <c r="AB141" i="1"/>
  <c r="Z141" i="1"/>
  <c r="J141" i="1"/>
  <c r="H141" i="1"/>
  <c r="BJ139" i="1"/>
  <c r="Z139" i="1" s="1"/>
  <c r="BF139" i="1"/>
  <c r="BD139" i="1"/>
  <c r="BC139" i="1"/>
  <c r="AX139" i="1"/>
  <c r="AV139" i="1"/>
  <c r="AP139" i="1"/>
  <c r="BI139" i="1" s="1"/>
  <c r="AO139" i="1"/>
  <c r="AW139" i="1" s="1"/>
  <c r="AL139" i="1"/>
  <c r="AK139" i="1"/>
  <c r="AJ139" i="1"/>
  <c r="AH139" i="1"/>
  <c r="AG139" i="1"/>
  <c r="AF139" i="1"/>
  <c r="AE139" i="1"/>
  <c r="AD139" i="1"/>
  <c r="AC139" i="1"/>
  <c r="AB139" i="1"/>
  <c r="J139" i="1"/>
  <c r="I139" i="1"/>
  <c r="H139" i="1"/>
  <c r="BJ137" i="1"/>
  <c r="BF137" i="1"/>
  <c r="BD137" i="1"/>
  <c r="AW137" i="1"/>
  <c r="AP137" i="1"/>
  <c r="AO137" i="1"/>
  <c r="AL137" i="1"/>
  <c r="AK137" i="1"/>
  <c r="AJ137" i="1"/>
  <c r="AH137" i="1"/>
  <c r="AG137" i="1"/>
  <c r="AF137" i="1"/>
  <c r="AC137" i="1"/>
  <c r="AB137" i="1"/>
  <c r="Z137" i="1"/>
  <c r="J137" i="1"/>
  <c r="BJ136" i="1"/>
  <c r="BF136" i="1"/>
  <c r="BD136" i="1"/>
  <c r="AP136" i="1"/>
  <c r="AX136" i="1" s="1"/>
  <c r="AO136" i="1"/>
  <c r="AK136" i="1"/>
  <c r="AJ136" i="1"/>
  <c r="AH136" i="1"/>
  <c r="AG136" i="1"/>
  <c r="AF136" i="1"/>
  <c r="AC136" i="1"/>
  <c r="AB136" i="1"/>
  <c r="Z136" i="1"/>
  <c r="J136" i="1"/>
  <c r="AL136" i="1" s="1"/>
  <c r="BJ134" i="1"/>
  <c r="BH134" i="1"/>
  <c r="AD134" i="1" s="1"/>
  <c r="BF134" i="1"/>
  <c r="BD134" i="1"/>
  <c r="AW134" i="1"/>
  <c r="AP134" i="1"/>
  <c r="AX134" i="1" s="1"/>
  <c r="AV134" i="1" s="1"/>
  <c r="AO134" i="1"/>
  <c r="AL134" i="1"/>
  <c r="AK134" i="1"/>
  <c r="AJ134" i="1"/>
  <c r="AH134" i="1"/>
  <c r="AG134" i="1"/>
  <c r="AF134" i="1"/>
  <c r="AC134" i="1"/>
  <c r="AB134" i="1"/>
  <c r="Z134" i="1"/>
  <c r="J134" i="1"/>
  <c r="I134" i="1"/>
  <c r="H134" i="1"/>
  <c r="BJ132" i="1"/>
  <c r="BI132" i="1"/>
  <c r="AE132" i="1" s="1"/>
  <c r="BH132" i="1"/>
  <c r="AD132" i="1" s="1"/>
  <c r="BF132" i="1"/>
  <c r="BD132" i="1"/>
  <c r="AX132" i="1"/>
  <c r="AP132" i="1"/>
  <c r="AO132" i="1"/>
  <c r="AW132" i="1" s="1"/>
  <c r="AK132" i="1"/>
  <c r="AJ132" i="1"/>
  <c r="AH132" i="1"/>
  <c r="AG132" i="1"/>
  <c r="AF132" i="1"/>
  <c r="AC132" i="1"/>
  <c r="AB132" i="1"/>
  <c r="Z132" i="1"/>
  <c r="J132" i="1"/>
  <c r="AL132" i="1" s="1"/>
  <c r="I132" i="1"/>
  <c r="H132" i="1"/>
  <c r="AU131" i="1"/>
  <c r="BJ130" i="1"/>
  <c r="BI130" i="1"/>
  <c r="AE130" i="1" s="1"/>
  <c r="BF130" i="1"/>
  <c r="BD130" i="1"/>
  <c r="AW130" i="1"/>
  <c r="AP130" i="1"/>
  <c r="AO130" i="1"/>
  <c r="BH130" i="1" s="1"/>
  <c r="AL130" i="1"/>
  <c r="AK130" i="1"/>
  <c r="AJ130" i="1"/>
  <c r="AH130" i="1"/>
  <c r="AG130" i="1"/>
  <c r="AF130" i="1"/>
  <c r="AD130" i="1"/>
  <c r="AC130" i="1"/>
  <c r="AB130" i="1"/>
  <c r="Z130" i="1"/>
  <c r="J130" i="1"/>
  <c r="H130" i="1"/>
  <c r="BJ129" i="1"/>
  <c r="BF129" i="1"/>
  <c r="BD129" i="1"/>
  <c r="AX129" i="1"/>
  <c r="AP129" i="1"/>
  <c r="BI129" i="1" s="1"/>
  <c r="AE129" i="1" s="1"/>
  <c r="AO129" i="1"/>
  <c r="AK129" i="1"/>
  <c r="AJ129" i="1"/>
  <c r="AH129" i="1"/>
  <c r="AG129" i="1"/>
  <c r="AF129" i="1"/>
  <c r="AC129" i="1"/>
  <c r="AB129" i="1"/>
  <c r="Z129" i="1"/>
  <c r="J129" i="1"/>
  <c r="AL129" i="1" s="1"/>
  <c r="I129" i="1"/>
  <c r="BJ126" i="1"/>
  <c r="BI126" i="1"/>
  <c r="BF126" i="1"/>
  <c r="BD126" i="1"/>
  <c r="AP126" i="1"/>
  <c r="AX126" i="1" s="1"/>
  <c r="AO126" i="1"/>
  <c r="AL126" i="1"/>
  <c r="AK126" i="1"/>
  <c r="AJ126" i="1"/>
  <c r="AH126" i="1"/>
  <c r="AG126" i="1"/>
  <c r="AF126" i="1"/>
  <c r="AE126" i="1"/>
  <c r="AC126" i="1"/>
  <c r="AB126" i="1"/>
  <c r="Z126" i="1"/>
  <c r="J126" i="1"/>
  <c r="I126" i="1"/>
  <c r="BJ124" i="1"/>
  <c r="BH124" i="1"/>
  <c r="AD124" i="1" s="1"/>
  <c r="BF124" i="1"/>
  <c r="BD124" i="1"/>
  <c r="AP124" i="1"/>
  <c r="AO124" i="1"/>
  <c r="AK124" i="1"/>
  <c r="AJ124" i="1"/>
  <c r="AH124" i="1"/>
  <c r="AG124" i="1"/>
  <c r="AF124" i="1"/>
  <c r="AC124" i="1"/>
  <c r="AB124" i="1"/>
  <c r="Z124" i="1"/>
  <c r="J124" i="1"/>
  <c r="AL124" i="1" s="1"/>
  <c r="BJ122" i="1"/>
  <c r="BI122" i="1"/>
  <c r="AE122" i="1" s="1"/>
  <c r="BH122" i="1"/>
  <c r="AD122" i="1" s="1"/>
  <c r="BF122" i="1"/>
  <c r="BD122" i="1"/>
  <c r="AW122" i="1"/>
  <c r="BC122" i="1" s="1"/>
  <c r="AV122" i="1"/>
  <c r="AP122" i="1"/>
  <c r="AX122" i="1" s="1"/>
  <c r="AO122" i="1"/>
  <c r="AL122" i="1"/>
  <c r="AK122" i="1"/>
  <c r="AJ122" i="1"/>
  <c r="AH122" i="1"/>
  <c r="AG122" i="1"/>
  <c r="AF122" i="1"/>
  <c r="AC122" i="1"/>
  <c r="AB122" i="1"/>
  <c r="Z122" i="1"/>
  <c r="J122" i="1"/>
  <c r="I122" i="1"/>
  <c r="H122" i="1"/>
  <c r="BJ119" i="1"/>
  <c r="BI119" i="1"/>
  <c r="AE119" i="1" s="1"/>
  <c r="BH119" i="1"/>
  <c r="AD119" i="1" s="1"/>
  <c r="BF119" i="1"/>
  <c r="BD119" i="1"/>
  <c r="AX119" i="1"/>
  <c r="AW119" i="1"/>
  <c r="BC119" i="1" s="1"/>
  <c r="AV119" i="1"/>
  <c r="AP119" i="1"/>
  <c r="AO119" i="1"/>
  <c r="AK119" i="1"/>
  <c r="AJ119" i="1"/>
  <c r="AH119" i="1"/>
  <c r="AG119" i="1"/>
  <c r="AF119" i="1"/>
  <c r="AC119" i="1"/>
  <c r="AB119" i="1"/>
  <c r="Z119" i="1"/>
  <c r="J119" i="1"/>
  <c r="I119" i="1"/>
  <c r="H119" i="1"/>
  <c r="BJ117" i="1"/>
  <c r="BF117" i="1"/>
  <c r="BD117" i="1"/>
  <c r="AW117" i="1"/>
  <c r="AP117" i="1"/>
  <c r="AO117" i="1"/>
  <c r="BH117" i="1" s="1"/>
  <c r="AL117" i="1"/>
  <c r="AK117" i="1"/>
  <c r="AJ117" i="1"/>
  <c r="AH117" i="1"/>
  <c r="AG117" i="1"/>
  <c r="AF117" i="1"/>
  <c r="AD117" i="1"/>
  <c r="AC117" i="1"/>
  <c r="AB117" i="1"/>
  <c r="Z117" i="1"/>
  <c r="J117" i="1"/>
  <c r="H117" i="1"/>
  <c r="AS116" i="1"/>
  <c r="BF115" i="1"/>
  <c r="AK115" i="1"/>
  <c r="AT114" i="1" s="1"/>
  <c r="AJ115" i="1"/>
  <c r="AS114" i="1" s="1"/>
  <c r="AH115" i="1"/>
  <c r="AG115" i="1"/>
  <c r="AF115" i="1"/>
  <c r="AC115" i="1"/>
  <c r="AB115" i="1"/>
  <c r="Z115" i="1"/>
  <c r="BJ113" i="1"/>
  <c r="BI113" i="1"/>
  <c r="BF113" i="1"/>
  <c r="BD113" i="1"/>
  <c r="AP113" i="1"/>
  <c r="AX113" i="1" s="1"/>
  <c r="AO113" i="1"/>
  <c r="AL113" i="1"/>
  <c r="AK113" i="1"/>
  <c r="AJ113" i="1"/>
  <c r="AH113" i="1"/>
  <c r="AG113" i="1"/>
  <c r="AF113" i="1"/>
  <c r="AE113" i="1"/>
  <c r="AD113" i="1"/>
  <c r="AC113" i="1"/>
  <c r="AB113" i="1"/>
  <c r="Z113" i="1"/>
  <c r="J113" i="1"/>
  <c r="I113" i="1"/>
  <c r="BJ111" i="1"/>
  <c r="BF111" i="1"/>
  <c r="BD111" i="1"/>
  <c r="AP111" i="1"/>
  <c r="AO111" i="1"/>
  <c r="AW111" i="1" s="1"/>
  <c r="AK111" i="1"/>
  <c r="AJ111" i="1"/>
  <c r="AH111" i="1"/>
  <c r="AG111" i="1"/>
  <c r="AF111" i="1"/>
  <c r="AC111" i="1"/>
  <c r="AB111" i="1"/>
  <c r="Z111" i="1"/>
  <c r="J111" i="1"/>
  <c r="AL111" i="1" s="1"/>
  <c r="H111" i="1"/>
  <c r="BJ108" i="1"/>
  <c r="BI108" i="1"/>
  <c r="AE108" i="1" s="1"/>
  <c r="BH108" i="1"/>
  <c r="AD108" i="1" s="1"/>
  <c r="BF108" i="1"/>
  <c r="BD108" i="1"/>
  <c r="BC108" i="1"/>
  <c r="AW108" i="1"/>
  <c r="AV108" i="1"/>
  <c r="AP108" i="1"/>
  <c r="AX108" i="1" s="1"/>
  <c r="AO108" i="1"/>
  <c r="AL108" i="1"/>
  <c r="AK108" i="1"/>
  <c r="AJ108" i="1"/>
  <c r="AH108" i="1"/>
  <c r="AG108" i="1"/>
  <c r="AF108" i="1"/>
  <c r="AC108" i="1"/>
  <c r="AB108" i="1"/>
  <c r="Z108" i="1"/>
  <c r="J108" i="1"/>
  <c r="I108" i="1"/>
  <c r="H108" i="1"/>
  <c r="BJ106" i="1"/>
  <c r="BI106" i="1"/>
  <c r="AE106" i="1" s="1"/>
  <c r="BF106" i="1"/>
  <c r="BD106" i="1"/>
  <c r="AX106" i="1"/>
  <c r="AW106" i="1"/>
  <c r="AP106" i="1"/>
  <c r="AO106" i="1"/>
  <c r="BH106" i="1" s="1"/>
  <c r="AD106" i="1" s="1"/>
  <c r="AK106" i="1"/>
  <c r="AJ106" i="1"/>
  <c r="AH106" i="1"/>
  <c r="AG106" i="1"/>
  <c r="AF106" i="1"/>
  <c r="AC106" i="1"/>
  <c r="AB106" i="1"/>
  <c r="Z106" i="1"/>
  <c r="J106" i="1"/>
  <c r="AL106" i="1" s="1"/>
  <c r="I106" i="1"/>
  <c r="H106" i="1"/>
  <c r="BJ103" i="1"/>
  <c r="BF103" i="1"/>
  <c r="BD103" i="1"/>
  <c r="AX103" i="1"/>
  <c r="BC103" i="1" s="1"/>
  <c r="AW103" i="1"/>
  <c r="AP103" i="1"/>
  <c r="I103" i="1" s="1"/>
  <c r="AO103" i="1"/>
  <c r="BH103" i="1" s="1"/>
  <c r="AL103" i="1"/>
  <c r="AK103" i="1"/>
  <c r="AT90" i="1" s="1"/>
  <c r="AJ103" i="1"/>
  <c r="AH103" i="1"/>
  <c r="AG103" i="1"/>
  <c r="AF103" i="1"/>
  <c r="AD103" i="1"/>
  <c r="AC103" i="1"/>
  <c r="AB103" i="1"/>
  <c r="Z103" i="1"/>
  <c r="J103" i="1"/>
  <c r="H103" i="1"/>
  <c r="BJ101" i="1"/>
  <c r="BH101" i="1"/>
  <c r="AD101" i="1" s="1"/>
  <c r="BF101" i="1"/>
  <c r="BD101" i="1"/>
  <c r="AX101" i="1"/>
  <c r="AP101" i="1"/>
  <c r="BI101" i="1" s="1"/>
  <c r="AO101" i="1"/>
  <c r="AL101" i="1"/>
  <c r="AK101" i="1"/>
  <c r="AJ101" i="1"/>
  <c r="AH101" i="1"/>
  <c r="AG101" i="1"/>
  <c r="AF101" i="1"/>
  <c r="AE101" i="1"/>
  <c r="AC101" i="1"/>
  <c r="AB101" i="1"/>
  <c r="Z101" i="1"/>
  <c r="J101" i="1"/>
  <c r="I101" i="1"/>
  <c r="BJ98" i="1"/>
  <c r="BF98" i="1"/>
  <c r="BD98" i="1"/>
  <c r="AP98" i="1"/>
  <c r="I98" i="1" s="1"/>
  <c r="AO98" i="1"/>
  <c r="AK98" i="1"/>
  <c r="AJ98" i="1"/>
  <c r="AH98" i="1"/>
  <c r="AG98" i="1"/>
  <c r="AF98" i="1"/>
  <c r="AC98" i="1"/>
  <c r="AB98" i="1"/>
  <c r="Z98" i="1"/>
  <c r="J98" i="1"/>
  <c r="AL98" i="1" s="1"/>
  <c r="BJ96" i="1"/>
  <c r="BF96" i="1"/>
  <c r="BD96" i="1"/>
  <c r="AX96" i="1"/>
  <c r="AV96" i="1" s="1"/>
  <c r="AP96" i="1"/>
  <c r="AO96" i="1"/>
  <c r="AW96" i="1" s="1"/>
  <c r="AK96" i="1"/>
  <c r="AJ96" i="1"/>
  <c r="AH96" i="1"/>
  <c r="AG96" i="1"/>
  <c r="AF96" i="1"/>
  <c r="AC96" i="1"/>
  <c r="AB96" i="1"/>
  <c r="Z96" i="1"/>
  <c r="J96" i="1"/>
  <c r="AL96" i="1" s="1"/>
  <c r="BJ93" i="1"/>
  <c r="BI93" i="1"/>
  <c r="BH93" i="1"/>
  <c r="AD93" i="1" s="1"/>
  <c r="BF93" i="1"/>
  <c r="BD93" i="1"/>
  <c r="AW93" i="1"/>
  <c r="BC93" i="1" s="1"/>
  <c r="AV93" i="1"/>
  <c r="AP93" i="1"/>
  <c r="AX93" i="1" s="1"/>
  <c r="AO93" i="1"/>
  <c r="AL93" i="1"/>
  <c r="AU90" i="1" s="1"/>
  <c r="AK93" i="1"/>
  <c r="AJ93" i="1"/>
  <c r="AH93" i="1"/>
  <c r="AG93" i="1"/>
  <c r="AF93" i="1"/>
  <c r="AE93" i="1"/>
  <c r="AC93" i="1"/>
  <c r="AB93" i="1"/>
  <c r="Z93" i="1"/>
  <c r="J93" i="1"/>
  <c r="I93" i="1"/>
  <c r="H93" i="1"/>
  <c r="BJ91" i="1"/>
  <c r="BI91" i="1"/>
  <c r="AE91" i="1" s="1"/>
  <c r="BH91" i="1"/>
  <c r="AD91" i="1" s="1"/>
  <c r="BF91" i="1"/>
  <c r="BD91" i="1"/>
  <c r="AX91" i="1"/>
  <c r="AV91" i="1" s="1"/>
  <c r="AW91" i="1"/>
  <c r="AP91" i="1"/>
  <c r="AO91" i="1"/>
  <c r="AK91" i="1"/>
  <c r="AJ91" i="1"/>
  <c r="AH91" i="1"/>
  <c r="AG91" i="1"/>
  <c r="AF91" i="1"/>
  <c r="AC91" i="1"/>
  <c r="AB91" i="1"/>
  <c r="Z91" i="1"/>
  <c r="J91" i="1"/>
  <c r="AL91" i="1" s="1"/>
  <c r="I91" i="1"/>
  <c r="H91" i="1"/>
  <c r="BJ88" i="1"/>
  <c r="BF88" i="1"/>
  <c r="BD88" i="1"/>
  <c r="AX88" i="1"/>
  <c r="BC88" i="1" s="1"/>
  <c r="AW88" i="1"/>
  <c r="AP88" i="1"/>
  <c r="BI88" i="1" s="1"/>
  <c r="AO88" i="1"/>
  <c r="BH88" i="1" s="1"/>
  <c r="AL88" i="1"/>
  <c r="AU87" i="1" s="1"/>
  <c r="AK88" i="1"/>
  <c r="AT87" i="1" s="1"/>
  <c r="AJ88" i="1"/>
  <c r="AS87" i="1" s="1"/>
  <c r="AH88" i="1"/>
  <c r="AG88" i="1"/>
  <c r="AF88" i="1"/>
  <c r="AE88" i="1"/>
  <c r="AD88" i="1"/>
  <c r="AC88" i="1"/>
  <c r="AB88" i="1"/>
  <c r="Z88" i="1"/>
  <c r="J88" i="1"/>
  <c r="I88" i="1"/>
  <c r="I87" i="1" s="1"/>
  <c r="H88" i="1"/>
  <c r="J87" i="1"/>
  <c r="H87" i="1"/>
  <c r="BJ86" i="1"/>
  <c r="BH86" i="1"/>
  <c r="AB86" i="1" s="1"/>
  <c r="BF86" i="1"/>
  <c r="BD86" i="1"/>
  <c r="AX86" i="1"/>
  <c r="BC86" i="1" s="1"/>
  <c r="AV86" i="1"/>
  <c r="AP86" i="1"/>
  <c r="BI86" i="1" s="1"/>
  <c r="AC86" i="1" s="1"/>
  <c r="AO86" i="1"/>
  <c r="AW86" i="1" s="1"/>
  <c r="AK86" i="1"/>
  <c r="AT83" i="1" s="1"/>
  <c r="AJ86" i="1"/>
  <c r="AH86" i="1"/>
  <c r="AG86" i="1"/>
  <c r="AF86" i="1"/>
  <c r="AE86" i="1"/>
  <c r="AD86" i="1"/>
  <c r="Z86" i="1"/>
  <c r="J86" i="1"/>
  <c r="AL86" i="1" s="1"/>
  <c r="I86" i="1"/>
  <c r="H86" i="1"/>
  <c r="BJ84" i="1"/>
  <c r="BI84" i="1"/>
  <c r="AC84" i="1" s="1"/>
  <c r="BF84" i="1"/>
  <c r="BD84" i="1"/>
  <c r="AP84" i="1"/>
  <c r="AX84" i="1" s="1"/>
  <c r="AO84" i="1"/>
  <c r="AL84" i="1"/>
  <c r="AK84" i="1"/>
  <c r="AJ84" i="1"/>
  <c r="AH84" i="1"/>
  <c r="AG84" i="1"/>
  <c r="AF84" i="1"/>
  <c r="AE84" i="1"/>
  <c r="AD84" i="1"/>
  <c r="Z84" i="1"/>
  <c r="J84" i="1"/>
  <c r="J83" i="1" s="1"/>
  <c r="I84" i="1"/>
  <c r="I83" i="1" s="1"/>
  <c r="AU83" i="1"/>
  <c r="AS83" i="1"/>
  <c r="BJ81" i="1"/>
  <c r="BH81" i="1"/>
  <c r="BF81" i="1"/>
  <c r="BD81" i="1"/>
  <c r="AP81" i="1"/>
  <c r="AO81" i="1"/>
  <c r="AK81" i="1"/>
  <c r="AJ81" i="1"/>
  <c r="AH81" i="1"/>
  <c r="AG81" i="1"/>
  <c r="AF81" i="1"/>
  <c r="AE81" i="1"/>
  <c r="AD81" i="1"/>
  <c r="AB81" i="1"/>
  <c r="Z81" i="1"/>
  <c r="J81" i="1"/>
  <c r="AL81" i="1" s="1"/>
  <c r="BJ79" i="1"/>
  <c r="BH79" i="1"/>
  <c r="BF79" i="1"/>
  <c r="BD79" i="1"/>
  <c r="AW79" i="1"/>
  <c r="AP79" i="1"/>
  <c r="AO79" i="1"/>
  <c r="AL79" i="1"/>
  <c r="AK79" i="1"/>
  <c r="AJ79" i="1"/>
  <c r="AH79" i="1"/>
  <c r="AG79" i="1"/>
  <c r="AF79" i="1"/>
  <c r="AE79" i="1"/>
  <c r="AD79" i="1"/>
  <c r="AB79" i="1"/>
  <c r="Z79" i="1"/>
  <c r="J79" i="1"/>
  <c r="H79" i="1"/>
  <c r="BJ78" i="1"/>
  <c r="BI78" i="1"/>
  <c r="AC78" i="1" s="1"/>
  <c r="BH78" i="1"/>
  <c r="AB78" i="1" s="1"/>
  <c r="BF78" i="1"/>
  <c r="BD78" i="1"/>
  <c r="AX78" i="1"/>
  <c r="AW78" i="1"/>
  <c r="BC78" i="1" s="1"/>
  <c r="AV78" i="1"/>
  <c r="AP78" i="1"/>
  <c r="AO78" i="1"/>
  <c r="AK78" i="1"/>
  <c r="AJ78" i="1"/>
  <c r="AH78" i="1"/>
  <c r="AG78" i="1"/>
  <c r="AF78" i="1"/>
  <c r="AE78" i="1"/>
  <c r="AD78" i="1"/>
  <c r="Z78" i="1"/>
  <c r="J78" i="1"/>
  <c r="I78" i="1"/>
  <c r="H78" i="1"/>
  <c r="BJ75" i="1"/>
  <c r="BI75" i="1"/>
  <c r="AC75" i="1" s="1"/>
  <c r="BF75" i="1"/>
  <c r="BD75" i="1"/>
  <c r="AW75" i="1"/>
  <c r="AP75" i="1"/>
  <c r="AX75" i="1" s="1"/>
  <c r="AO75" i="1"/>
  <c r="BH75" i="1" s="1"/>
  <c r="AB75" i="1" s="1"/>
  <c r="AL75" i="1"/>
  <c r="AK75" i="1"/>
  <c r="AJ75" i="1"/>
  <c r="AH75" i="1"/>
  <c r="AG75" i="1"/>
  <c r="AF75" i="1"/>
  <c r="AE75" i="1"/>
  <c r="AD75" i="1"/>
  <c r="Z75" i="1"/>
  <c r="J75" i="1"/>
  <c r="I75" i="1"/>
  <c r="H75" i="1"/>
  <c r="BJ72" i="1"/>
  <c r="BH72" i="1"/>
  <c r="AB72" i="1" s="1"/>
  <c r="BF72" i="1"/>
  <c r="BD72" i="1"/>
  <c r="AX72" i="1"/>
  <c r="BC72" i="1" s="1"/>
  <c r="AV72" i="1"/>
  <c r="AP72" i="1"/>
  <c r="BI72" i="1" s="1"/>
  <c r="AC72" i="1" s="1"/>
  <c r="AO72" i="1"/>
  <c r="AW72" i="1" s="1"/>
  <c r="AK72" i="1"/>
  <c r="AJ72" i="1"/>
  <c r="AH72" i="1"/>
  <c r="AG72" i="1"/>
  <c r="AF72" i="1"/>
  <c r="AE72" i="1"/>
  <c r="AD72" i="1"/>
  <c r="Z72" i="1"/>
  <c r="J72" i="1"/>
  <c r="AL72" i="1" s="1"/>
  <c r="I72" i="1"/>
  <c r="H72" i="1"/>
  <c r="BJ70" i="1"/>
  <c r="BI70" i="1"/>
  <c r="AC70" i="1" s="1"/>
  <c r="BF70" i="1"/>
  <c r="BD70" i="1"/>
  <c r="AP70" i="1"/>
  <c r="AX70" i="1" s="1"/>
  <c r="AO70" i="1"/>
  <c r="AL70" i="1"/>
  <c r="AK70" i="1"/>
  <c r="AJ70" i="1"/>
  <c r="AH70" i="1"/>
  <c r="AG70" i="1"/>
  <c r="AF70" i="1"/>
  <c r="AE70" i="1"/>
  <c r="AD70" i="1"/>
  <c r="Z70" i="1"/>
  <c r="J70" i="1"/>
  <c r="I70" i="1"/>
  <c r="BJ68" i="1"/>
  <c r="BH68" i="1"/>
  <c r="AB68" i="1" s="1"/>
  <c r="BF68" i="1"/>
  <c r="BD68" i="1"/>
  <c r="AP68" i="1"/>
  <c r="AO68" i="1"/>
  <c r="AW68" i="1" s="1"/>
  <c r="AK68" i="1"/>
  <c r="AJ68" i="1"/>
  <c r="AH68" i="1"/>
  <c r="AG68" i="1"/>
  <c r="AF68" i="1"/>
  <c r="AE68" i="1"/>
  <c r="AD68" i="1"/>
  <c r="Z68" i="1"/>
  <c r="J68" i="1"/>
  <c r="AL68" i="1" s="1"/>
  <c r="BJ66" i="1"/>
  <c r="BH66" i="1"/>
  <c r="AB66" i="1" s="1"/>
  <c r="BF66" i="1"/>
  <c r="BD66" i="1"/>
  <c r="AW66" i="1"/>
  <c r="AV66" i="1" s="1"/>
  <c r="AP66" i="1"/>
  <c r="AX66" i="1" s="1"/>
  <c r="AO66" i="1"/>
  <c r="AL66" i="1"/>
  <c r="AK66" i="1"/>
  <c r="AJ66" i="1"/>
  <c r="AH66" i="1"/>
  <c r="AG66" i="1"/>
  <c r="AF66" i="1"/>
  <c r="AE66" i="1"/>
  <c r="AD66" i="1"/>
  <c r="Z66" i="1"/>
  <c r="J66" i="1"/>
  <c r="I66" i="1"/>
  <c r="H66" i="1"/>
  <c r="BJ64" i="1"/>
  <c r="BI64" i="1"/>
  <c r="BF64" i="1"/>
  <c r="BD64" i="1"/>
  <c r="AX64" i="1"/>
  <c r="AW64" i="1"/>
  <c r="AP64" i="1"/>
  <c r="AO64" i="1"/>
  <c r="BH64" i="1" s="1"/>
  <c r="AK64" i="1"/>
  <c r="AJ64" i="1"/>
  <c r="AH64" i="1"/>
  <c r="AG64" i="1"/>
  <c r="AF64" i="1"/>
  <c r="AE64" i="1"/>
  <c r="AD64" i="1"/>
  <c r="AC64" i="1"/>
  <c r="AB64" i="1"/>
  <c r="Z64" i="1"/>
  <c r="J64" i="1"/>
  <c r="AL64" i="1" s="1"/>
  <c r="I64" i="1"/>
  <c r="H64" i="1"/>
  <c r="BJ62" i="1"/>
  <c r="BI62" i="1"/>
  <c r="AC62" i="1" s="1"/>
  <c r="BF62" i="1"/>
  <c r="BD62" i="1"/>
  <c r="AW62" i="1"/>
  <c r="AP62" i="1"/>
  <c r="I62" i="1" s="1"/>
  <c r="AO62" i="1"/>
  <c r="BH62" i="1" s="1"/>
  <c r="AB62" i="1" s="1"/>
  <c r="AL62" i="1"/>
  <c r="AK62" i="1"/>
  <c r="AJ62" i="1"/>
  <c r="AH62" i="1"/>
  <c r="AG62" i="1"/>
  <c r="AF62" i="1"/>
  <c r="AE62" i="1"/>
  <c r="AD62" i="1"/>
  <c r="Z62" i="1"/>
  <c r="J62" i="1"/>
  <c r="H62" i="1"/>
  <c r="BJ60" i="1"/>
  <c r="BF60" i="1"/>
  <c r="BD60" i="1"/>
  <c r="AX60" i="1"/>
  <c r="AV60" i="1"/>
  <c r="AP60" i="1"/>
  <c r="BI60" i="1" s="1"/>
  <c r="AC60" i="1" s="1"/>
  <c r="AO60" i="1"/>
  <c r="AW60" i="1" s="1"/>
  <c r="BC60" i="1" s="1"/>
  <c r="AK60" i="1"/>
  <c r="AJ60" i="1"/>
  <c r="AH60" i="1"/>
  <c r="AG60" i="1"/>
  <c r="AF60" i="1"/>
  <c r="AE60" i="1"/>
  <c r="AD60" i="1"/>
  <c r="Z60" i="1"/>
  <c r="J60" i="1"/>
  <c r="J59" i="1" s="1"/>
  <c r="I60" i="1"/>
  <c r="H60" i="1"/>
  <c r="BJ57" i="1"/>
  <c r="BI57" i="1"/>
  <c r="AC57" i="1" s="1"/>
  <c r="BF57" i="1"/>
  <c r="BD57" i="1"/>
  <c r="AW57" i="1"/>
  <c r="BC57" i="1" s="1"/>
  <c r="AV57" i="1"/>
  <c r="AP57" i="1"/>
  <c r="AX57" i="1" s="1"/>
  <c r="AO57" i="1"/>
  <c r="H57" i="1" s="1"/>
  <c r="AL57" i="1"/>
  <c r="AK57" i="1"/>
  <c r="AJ57" i="1"/>
  <c r="AH57" i="1"/>
  <c r="AG57" i="1"/>
  <c r="AF57" i="1"/>
  <c r="AE57" i="1"/>
  <c r="AD57" i="1"/>
  <c r="Z57" i="1"/>
  <c r="J57" i="1"/>
  <c r="I57" i="1"/>
  <c r="BJ55" i="1"/>
  <c r="BH55" i="1"/>
  <c r="AB55" i="1" s="1"/>
  <c r="BF55" i="1"/>
  <c r="BD55" i="1"/>
  <c r="AW55" i="1"/>
  <c r="AP55" i="1"/>
  <c r="I55" i="1" s="1"/>
  <c r="AO55" i="1"/>
  <c r="AK55" i="1"/>
  <c r="AJ55" i="1"/>
  <c r="AH55" i="1"/>
  <c r="AG55" i="1"/>
  <c r="AF55" i="1"/>
  <c r="AE55" i="1"/>
  <c r="AD55" i="1"/>
  <c r="Z55" i="1"/>
  <c r="J55" i="1"/>
  <c r="AL55" i="1" s="1"/>
  <c r="H55" i="1"/>
  <c r="BJ53" i="1"/>
  <c r="BH53" i="1"/>
  <c r="BF53" i="1"/>
  <c r="BD53" i="1"/>
  <c r="AW53" i="1"/>
  <c r="AP53" i="1"/>
  <c r="AO53" i="1"/>
  <c r="AL53" i="1"/>
  <c r="AK53" i="1"/>
  <c r="AJ53" i="1"/>
  <c r="AH53" i="1"/>
  <c r="AG53" i="1"/>
  <c r="AF53" i="1"/>
  <c r="AE53" i="1"/>
  <c r="AD53" i="1"/>
  <c r="AB53" i="1"/>
  <c r="Z53" i="1"/>
  <c r="J53" i="1"/>
  <c r="H53" i="1"/>
  <c r="BJ52" i="1"/>
  <c r="BI52" i="1"/>
  <c r="AC52" i="1" s="1"/>
  <c r="BH52" i="1"/>
  <c r="AB52" i="1" s="1"/>
  <c r="BF52" i="1"/>
  <c r="BD52" i="1"/>
  <c r="AX52" i="1"/>
  <c r="AW52" i="1"/>
  <c r="BC52" i="1" s="1"/>
  <c r="AV52" i="1"/>
  <c r="AP52" i="1"/>
  <c r="AO52" i="1"/>
  <c r="AL52" i="1"/>
  <c r="AK52" i="1"/>
  <c r="AT47" i="1" s="1"/>
  <c r="AJ52" i="1"/>
  <c r="AS47" i="1" s="1"/>
  <c r="AH52" i="1"/>
  <c r="AG52" i="1"/>
  <c r="AF52" i="1"/>
  <c r="AE52" i="1"/>
  <c r="AD52" i="1"/>
  <c r="Z52" i="1"/>
  <c r="J52" i="1"/>
  <c r="I52" i="1"/>
  <c r="H52" i="1"/>
  <c r="BJ50" i="1"/>
  <c r="BI50" i="1"/>
  <c r="AC50" i="1" s="1"/>
  <c r="BF50" i="1"/>
  <c r="BD50" i="1"/>
  <c r="AP50" i="1"/>
  <c r="AX50" i="1" s="1"/>
  <c r="AO50" i="1"/>
  <c r="AK50" i="1"/>
  <c r="AJ50" i="1"/>
  <c r="AH50" i="1"/>
  <c r="AG50" i="1"/>
  <c r="AF50" i="1"/>
  <c r="AE50" i="1"/>
  <c r="AD50" i="1"/>
  <c r="Z50" i="1"/>
  <c r="J50" i="1"/>
  <c r="AL50" i="1" s="1"/>
  <c r="I50" i="1"/>
  <c r="BJ48" i="1"/>
  <c r="BF48" i="1"/>
  <c r="BD48" i="1"/>
  <c r="AW48" i="1"/>
  <c r="AP48" i="1"/>
  <c r="AO48" i="1"/>
  <c r="H48" i="1" s="1"/>
  <c r="AK48" i="1"/>
  <c r="AJ48" i="1"/>
  <c r="AH48" i="1"/>
  <c r="AG48" i="1"/>
  <c r="AF48" i="1"/>
  <c r="AE48" i="1"/>
  <c r="AD48" i="1"/>
  <c r="Z48" i="1"/>
  <c r="J48" i="1"/>
  <c r="AL48" i="1" s="1"/>
  <c r="AU47" i="1" s="1"/>
  <c r="BJ45" i="1"/>
  <c r="BI45" i="1"/>
  <c r="AC45" i="1" s="1"/>
  <c r="BH45" i="1"/>
  <c r="BF45" i="1"/>
  <c r="BD45" i="1"/>
  <c r="AX45" i="1"/>
  <c r="AW45" i="1"/>
  <c r="BC45" i="1" s="1"/>
  <c r="AV45" i="1"/>
  <c r="AP45" i="1"/>
  <c r="I45" i="1" s="1"/>
  <c r="AO45" i="1"/>
  <c r="AL45" i="1"/>
  <c r="AK45" i="1"/>
  <c r="AJ45" i="1"/>
  <c r="AH45" i="1"/>
  <c r="AG45" i="1"/>
  <c r="AF45" i="1"/>
  <c r="AE45" i="1"/>
  <c r="AD45" i="1"/>
  <c r="AB45" i="1"/>
  <c r="Z45" i="1"/>
  <c r="J45" i="1"/>
  <c r="H45" i="1"/>
  <c r="BJ43" i="1"/>
  <c r="BI43" i="1"/>
  <c r="BH43" i="1"/>
  <c r="BF43" i="1"/>
  <c r="BD43" i="1"/>
  <c r="AX43" i="1"/>
  <c r="AW43" i="1"/>
  <c r="BC43" i="1" s="1"/>
  <c r="AV43" i="1"/>
  <c r="AP43" i="1"/>
  <c r="AO43" i="1"/>
  <c r="AL43" i="1"/>
  <c r="AK43" i="1"/>
  <c r="AJ43" i="1"/>
  <c r="AH43" i="1"/>
  <c r="AG43" i="1"/>
  <c r="AF43" i="1"/>
  <c r="AE43" i="1"/>
  <c r="AD43" i="1"/>
  <c r="AC43" i="1"/>
  <c r="AB43" i="1"/>
  <c r="Z43" i="1"/>
  <c r="J43" i="1"/>
  <c r="I43" i="1"/>
  <c r="H43" i="1"/>
  <c r="BJ42" i="1"/>
  <c r="BI42" i="1"/>
  <c r="AC42" i="1" s="1"/>
  <c r="BF42" i="1"/>
  <c r="BD42" i="1"/>
  <c r="AX42" i="1"/>
  <c r="AW42" i="1"/>
  <c r="AV42" i="1" s="1"/>
  <c r="AP42" i="1"/>
  <c r="AO42" i="1"/>
  <c r="BH42" i="1" s="1"/>
  <c r="AB42" i="1" s="1"/>
  <c r="AK42" i="1"/>
  <c r="AJ42" i="1"/>
  <c r="AH42" i="1"/>
  <c r="AG42" i="1"/>
  <c r="AF42" i="1"/>
  <c r="AE42" i="1"/>
  <c r="AD42" i="1"/>
  <c r="Z42" i="1"/>
  <c r="J42" i="1"/>
  <c r="AL42" i="1" s="1"/>
  <c r="AU27" i="1" s="1"/>
  <c r="I42" i="1"/>
  <c r="H42" i="1"/>
  <c r="BJ39" i="1"/>
  <c r="BF39" i="1"/>
  <c r="BD39" i="1"/>
  <c r="AX39" i="1"/>
  <c r="AP39" i="1"/>
  <c r="BI39" i="1" s="1"/>
  <c r="AC39" i="1" s="1"/>
  <c r="AO39" i="1"/>
  <c r="AL39" i="1"/>
  <c r="AK39" i="1"/>
  <c r="AJ39" i="1"/>
  <c r="AH39" i="1"/>
  <c r="AG39" i="1"/>
  <c r="AF39" i="1"/>
  <c r="AE39" i="1"/>
  <c r="AD39" i="1"/>
  <c r="Z39" i="1"/>
  <c r="J39" i="1"/>
  <c r="I39" i="1"/>
  <c r="H39" i="1"/>
  <c r="BJ36" i="1"/>
  <c r="BF36" i="1"/>
  <c r="BD36" i="1"/>
  <c r="AP36" i="1"/>
  <c r="AO36" i="1"/>
  <c r="BH36" i="1" s="1"/>
  <c r="AB36" i="1" s="1"/>
  <c r="AL36" i="1"/>
  <c r="AK36" i="1"/>
  <c r="AJ36" i="1"/>
  <c r="AH36" i="1"/>
  <c r="AG36" i="1"/>
  <c r="AF36" i="1"/>
  <c r="AE36" i="1"/>
  <c r="AD36" i="1"/>
  <c r="Z36" i="1"/>
  <c r="J36" i="1"/>
  <c r="I36" i="1"/>
  <c r="BJ34" i="1"/>
  <c r="BF34" i="1"/>
  <c r="BD34" i="1"/>
  <c r="AW34" i="1"/>
  <c r="AP34" i="1"/>
  <c r="AO34" i="1"/>
  <c r="H34" i="1" s="1"/>
  <c r="AK34" i="1"/>
  <c r="AJ34" i="1"/>
  <c r="AH34" i="1"/>
  <c r="AG34" i="1"/>
  <c r="AF34" i="1"/>
  <c r="AE34" i="1"/>
  <c r="AD34" i="1"/>
  <c r="Z34" i="1"/>
  <c r="J34" i="1"/>
  <c r="AL34" i="1" s="1"/>
  <c r="BJ32" i="1"/>
  <c r="BH32" i="1"/>
  <c r="AB32" i="1" s="1"/>
  <c r="BF32" i="1"/>
  <c r="BD32" i="1"/>
  <c r="AW32" i="1"/>
  <c r="AP32" i="1"/>
  <c r="I32" i="1" s="1"/>
  <c r="AO32" i="1"/>
  <c r="AL32" i="1"/>
  <c r="AK32" i="1"/>
  <c r="AJ32" i="1"/>
  <c r="AH32" i="1"/>
  <c r="AG32" i="1"/>
  <c r="AF32" i="1"/>
  <c r="AE32" i="1"/>
  <c r="AD32" i="1"/>
  <c r="Z32" i="1"/>
  <c r="J32" i="1"/>
  <c r="H32" i="1"/>
  <c r="BJ30" i="1"/>
  <c r="BI30" i="1"/>
  <c r="BH30" i="1"/>
  <c r="BF30" i="1"/>
  <c r="BD30" i="1"/>
  <c r="BC30" i="1"/>
  <c r="AX30" i="1"/>
  <c r="AW30" i="1"/>
  <c r="AV30" i="1"/>
  <c r="AP30" i="1"/>
  <c r="AO30" i="1"/>
  <c r="AL30" i="1"/>
  <c r="AK30" i="1"/>
  <c r="AJ30" i="1"/>
  <c r="AH30" i="1"/>
  <c r="AG30" i="1"/>
  <c r="AF30" i="1"/>
  <c r="AE30" i="1"/>
  <c r="AD30" i="1"/>
  <c r="AC30" i="1"/>
  <c r="AB30" i="1"/>
  <c r="Z30" i="1"/>
  <c r="J30" i="1"/>
  <c r="I30" i="1"/>
  <c r="H30" i="1"/>
  <c r="BJ28" i="1"/>
  <c r="BI28" i="1"/>
  <c r="AC28" i="1" s="1"/>
  <c r="BF28" i="1"/>
  <c r="BD28" i="1"/>
  <c r="AX28" i="1"/>
  <c r="AP28" i="1"/>
  <c r="AO28" i="1"/>
  <c r="BH28" i="1" s="1"/>
  <c r="AB28" i="1" s="1"/>
  <c r="AL28" i="1"/>
  <c r="AK28" i="1"/>
  <c r="AT27" i="1" s="1"/>
  <c r="AJ28" i="1"/>
  <c r="AH28" i="1"/>
  <c r="AG28" i="1"/>
  <c r="AF28" i="1"/>
  <c r="AE28" i="1"/>
  <c r="AD28" i="1"/>
  <c r="Z28" i="1"/>
  <c r="J28" i="1"/>
  <c r="J27" i="1" s="1"/>
  <c r="I28" i="1"/>
  <c r="H28" i="1"/>
  <c r="BJ25" i="1"/>
  <c r="BF25" i="1"/>
  <c r="BD25" i="1"/>
  <c r="AP25" i="1"/>
  <c r="BI25" i="1" s="1"/>
  <c r="AC25" i="1" s="1"/>
  <c r="AO25" i="1"/>
  <c r="AL25" i="1"/>
  <c r="AU24" i="1" s="1"/>
  <c r="AK25" i="1"/>
  <c r="AT24" i="1" s="1"/>
  <c r="AJ25" i="1"/>
  <c r="AH25" i="1"/>
  <c r="AG25" i="1"/>
  <c r="AF25" i="1"/>
  <c r="AE25" i="1"/>
  <c r="AD25" i="1"/>
  <c r="Z25" i="1"/>
  <c r="J25" i="1"/>
  <c r="I25" i="1"/>
  <c r="I24" i="1" s="1"/>
  <c r="H25" i="1"/>
  <c r="H24" i="1" s="1"/>
  <c r="AS24" i="1"/>
  <c r="J24" i="1"/>
  <c r="BJ22" i="1"/>
  <c r="BF22" i="1"/>
  <c r="BD22" i="1"/>
  <c r="AP22" i="1"/>
  <c r="AO22" i="1"/>
  <c r="AL22" i="1"/>
  <c r="AK22" i="1"/>
  <c r="AJ22" i="1"/>
  <c r="AH22" i="1"/>
  <c r="AG22" i="1"/>
  <c r="AF22" i="1"/>
  <c r="AE22" i="1"/>
  <c r="AD22" i="1"/>
  <c r="Z22" i="1"/>
  <c r="J22" i="1"/>
  <c r="I22" i="1"/>
  <c r="BJ20" i="1"/>
  <c r="BF20" i="1"/>
  <c r="BD20" i="1"/>
  <c r="AW20" i="1"/>
  <c r="AP20" i="1"/>
  <c r="BI20" i="1" s="1"/>
  <c r="AC20" i="1" s="1"/>
  <c r="AO20" i="1"/>
  <c r="H20" i="1" s="1"/>
  <c r="AK20" i="1"/>
  <c r="AJ20" i="1"/>
  <c r="AH20" i="1"/>
  <c r="AG20" i="1"/>
  <c r="AF20" i="1"/>
  <c r="AE20" i="1"/>
  <c r="AD20" i="1"/>
  <c r="Z20" i="1"/>
  <c r="J20" i="1"/>
  <c r="BJ18" i="1"/>
  <c r="BH18" i="1"/>
  <c r="AB18" i="1" s="1"/>
  <c r="BF18" i="1"/>
  <c r="BD18" i="1"/>
  <c r="AX18" i="1"/>
  <c r="AW18" i="1"/>
  <c r="AV18" i="1" s="1"/>
  <c r="AP18" i="1"/>
  <c r="I18" i="1" s="1"/>
  <c r="AO18" i="1"/>
  <c r="AL18" i="1"/>
  <c r="AK18" i="1"/>
  <c r="AJ18" i="1"/>
  <c r="AH18" i="1"/>
  <c r="AG18" i="1"/>
  <c r="AF18" i="1"/>
  <c r="AE18" i="1"/>
  <c r="AD18" i="1"/>
  <c r="Z18" i="1"/>
  <c r="J18" i="1"/>
  <c r="H18" i="1"/>
  <c r="BJ16" i="1"/>
  <c r="BI16" i="1"/>
  <c r="BH16" i="1"/>
  <c r="BF16" i="1"/>
  <c r="BD16" i="1"/>
  <c r="AX16" i="1"/>
  <c r="BC16" i="1" s="1"/>
  <c r="AW16" i="1"/>
  <c r="AV16" i="1" s="1"/>
  <c r="AP16" i="1"/>
  <c r="AO16" i="1"/>
  <c r="AL16" i="1"/>
  <c r="AK16" i="1"/>
  <c r="AT15" i="1" s="1"/>
  <c r="AJ16" i="1"/>
  <c r="AH16" i="1"/>
  <c r="AG16" i="1"/>
  <c r="AF16" i="1"/>
  <c r="AE16" i="1"/>
  <c r="AD16" i="1"/>
  <c r="AC16" i="1"/>
  <c r="AB16" i="1"/>
  <c r="Z16" i="1"/>
  <c r="J16" i="1"/>
  <c r="I16" i="1"/>
  <c r="H16" i="1"/>
  <c r="BJ13" i="1"/>
  <c r="BI13" i="1"/>
  <c r="AC13" i="1" s="1"/>
  <c r="BF13" i="1"/>
  <c r="BD13" i="1"/>
  <c r="AX13" i="1"/>
  <c r="AW13" i="1"/>
  <c r="AV13" i="1" s="1"/>
  <c r="AP13" i="1"/>
  <c r="AO13" i="1"/>
  <c r="BH13" i="1" s="1"/>
  <c r="AB13" i="1" s="1"/>
  <c r="AK13" i="1"/>
  <c r="AJ13" i="1"/>
  <c r="AH13" i="1"/>
  <c r="AG13" i="1"/>
  <c r="AF13" i="1"/>
  <c r="AE13" i="1"/>
  <c r="AD13" i="1"/>
  <c r="Z13" i="1"/>
  <c r="J13" i="1"/>
  <c r="J12" i="1" s="1"/>
  <c r="I13" i="1"/>
  <c r="H13" i="1"/>
  <c r="I12" i="1"/>
  <c r="H12" i="1"/>
  <c r="AU1" i="1"/>
  <c r="AT1" i="1"/>
  <c r="AS1" i="1"/>
  <c r="J44" i="4" l="1"/>
  <c r="J46" i="4"/>
  <c r="G115" i="1" s="1"/>
  <c r="AV68" i="1"/>
  <c r="I48" i="1"/>
  <c r="I47" i="1" s="1"/>
  <c r="AX48" i="1"/>
  <c r="AV48" i="1" s="1"/>
  <c r="BC64" i="1"/>
  <c r="AV64" i="1"/>
  <c r="BI208" i="1"/>
  <c r="AC208" i="1" s="1"/>
  <c r="I208" i="1"/>
  <c r="AX208" i="1"/>
  <c r="BH50" i="1"/>
  <c r="AB50" i="1" s="1"/>
  <c r="H50" i="1"/>
  <c r="AL78" i="1"/>
  <c r="J74" i="1"/>
  <c r="BC106" i="1"/>
  <c r="AV106" i="1"/>
  <c r="BI134" i="1"/>
  <c r="AE134" i="1" s="1"/>
  <c r="AW136" i="1"/>
  <c r="H136" i="1"/>
  <c r="AW196" i="1"/>
  <c r="H196" i="1"/>
  <c r="AV212" i="1"/>
  <c r="BC212" i="1"/>
  <c r="H22" i="1"/>
  <c r="H15" i="1" s="1"/>
  <c r="AW22" i="1"/>
  <c r="AW25" i="1"/>
  <c r="BH25" i="1"/>
  <c r="AB25" i="1" s="1"/>
  <c r="C14" i="2" s="1"/>
  <c r="J47" i="1"/>
  <c r="H98" i="1"/>
  <c r="BH98" i="1"/>
  <c r="AD98" i="1" s="1"/>
  <c r="AW98" i="1"/>
  <c r="AW101" i="1"/>
  <c r="H101" i="1"/>
  <c r="AW124" i="1"/>
  <c r="H124" i="1"/>
  <c r="AL162" i="1"/>
  <c r="AU159" i="1" s="1"/>
  <c r="J159" i="1"/>
  <c r="BC174" i="1"/>
  <c r="AV174" i="1"/>
  <c r="BH210" i="1"/>
  <c r="AB210" i="1" s="1"/>
  <c r="H210" i="1"/>
  <c r="AW210" i="1"/>
  <c r="AW39" i="1"/>
  <c r="BH39" i="1"/>
  <c r="AB39" i="1" s="1"/>
  <c r="AW50" i="1"/>
  <c r="H68" i="1"/>
  <c r="AU74" i="1"/>
  <c r="AS90" i="1"/>
  <c r="I130" i="1"/>
  <c r="AX130" i="1"/>
  <c r="AT131" i="1"/>
  <c r="BC134" i="1"/>
  <c r="BI199" i="1"/>
  <c r="AC199" i="1" s="1"/>
  <c r="AV257" i="1"/>
  <c r="BC257" i="1"/>
  <c r="AL13" i="1"/>
  <c r="BI18" i="1"/>
  <c r="AC18" i="1" s="1"/>
  <c r="C15" i="2" s="1"/>
  <c r="AX25" i="1"/>
  <c r="AW28" i="1"/>
  <c r="BC32" i="1"/>
  <c r="BH34" i="1"/>
  <c r="AB34" i="1" s="1"/>
  <c r="AL60" i="1"/>
  <c r="AU59" i="1" s="1"/>
  <c r="AS59" i="1"/>
  <c r="AX62" i="1"/>
  <c r="BC66" i="1"/>
  <c r="AX117" i="1"/>
  <c r="BC117" i="1" s="1"/>
  <c r="BI117" i="1"/>
  <c r="AE117" i="1" s="1"/>
  <c r="I117" i="1"/>
  <c r="H131" i="1"/>
  <c r="BC132" i="1"/>
  <c r="AV132" i="1"/>
  <c r="AW153" i="1"/>
  <c r="BH153" i="1"/>
  <c r="AD153" i="1" s="1"/>
  <c r="H153" i="1"/>
  <c r="H168" i="1"/>
  <c r="BH168" i="1"/>
  <c r="AD168" i="1" s="1"/>
  <c r="BC190" i="1"/>
  <c r="AX231" i="1"/>
  <c r="BI231" i="1"/>
  <c r="AC231" i="1" s="1"/>
  <c r="I231" i="1"/>
  <c r="AL20" i="1"/>
  <c r="AU15" i="1" s="1"/>
  <c r="J15" i="1"/>
  <c r="I20" i="1"/>
  <c r="I15" i="1" s="1"/>
  <c r="AX20" i="1"/>
  <c r="AV20" i="1" s="1"/>
  <c r="BI48" i="1"/>
  <c r="AC48" i="1" s="1"/>
  <c r="H84" i="1"/>
  <c r="H83" i="1" s="1"/>
  <c r="BH84" i="1"/>
  <c r="AB84" i="1" s="1"/>
  <c r="AW84" i="1"/>
  <c r="I141" i="1"/>
  <c r="AX141" i="1"/>
  <c r="AV168" i="1"/>
  <c r="BC168" i="1"/>
  <c r="H36" i="1"/>
  <c r="H27" i="1" s="1"/>
  <c r="AW36" i="1"/>
  <c r="BC68" i="1"/>
  <c r="H70" i="1"/>
  <c r="BH70" i="1"/>
  <c r="AB70" i="1" s="1"/>
  <c r="AW70" i="1"/>
  <c r="AV141" i="1"/>
  <c r="BC141" i="1"/>
  <c r="AW149" i="1"/>
  <c r="H149" i="1"/>
  <c r="H140" i="1" s="1"/>
  <c r="I171" i="1"/>
  <c r="AX172" i="1"/>
  <c r="BI172" i="1"/>
  <c r="AC172" i="1" s="1"/>
  <c r="AL188" i="1"/>
  <c r="AU185" i="1" s="1"/>
  <c r="J185" i="1"/>
  <c r="C27" i="2"/>
  <c r="AS12" i="1"/>
  <c r="BC20" i="1"/>
  <c r="BH22" i="1"/>
  <c r="AB22" i="1" s="1"/>
  <c r="AX36" i="1"/>
  <c r="BI36" i="1"/>
  <c r="AC36" i="1" s="1"/>
  <c r="I68" i="1"/>
  <c r="I59" i="1" s="1"/>
  <c r="BI68" i="1"/>
  <c r="AC68" i="1" s="1"/>
  <c r="AX68" i="1"/>
  <c r="BC158" i="1"/>
  <c r="AV158" i="1"/>
  <c r="BC172" i="1"/>
  <c r="H194" i="1"/>
  <c r="BH194" i="1"/>
  <c r="AB194" i="1" s="1"/>
  <c r="AW194" i="1"/>
  <c r="C28" i="2"/>
  <c r="F28" i="2" s="1"/>
  <c r="AT12" i="1"/>
  <c r="BC13" i="1"/>
  <c r="AX22" i="1"/>
  <c r="BI22" i="1"/>
  <c r="AC22" i="1" s="1"/>
  <c r="BI32" i="1"/>
  <c r="AC32" i="1" s="1"/>
  <c r="BC42" i="1"/>
  <c r="BI55" i="1"/>
  <c r="AC55" i="1" s="1"/>
  <c r="AV62" i="1"/>
  <c r="BC62" i="1"/>
  <c r="AS74" i="1"/>
  <c r="J90" i="1"/>
  <c r="AX98" i="1"/>
  <c r="BI98" i="1"/>
  <c r="AE98" i="1" s="1"/>
  <c r="I178" i="1"/>
  <c r="BI178" i="1"/>
  <c r="AC178" i="1" s="1"/>
  <c r="AX178" i="1"/>
  <c r="I193" i="1"/>
  <c r="AS15" i="1"/>
  <c r="BC18" i="1"/>
  <c r="BH20" i="1"/>
  <c r="AB20" i="1" s="1"/>
  <c r="AS27" i="1"/>
  <c r="AX32" i="1"/>
  <c r="AV32" i="1" s="1"/>
  <c r="I34" i="1"/>
  <c r="I27" i="1" s="1"/>
  <c r="AX34" i="1"/>
  <c r="AV34" i="1" s="1"/>
  <c r="BI34" i="1"/>
  <c r="AC34" i="1" s="1"/>
  <c r="H47" i="1"/>
  <c r="BH48" i="1"/>
  <c r="AB48" i="1" s="1"/>
  <c r="I53" i="1"/>
  <c r="AX53" i="1"/>
  <c r="AV53" i="1" s="1"/>
  <c r="BI53" i="1"/>
  <c r="AC53" i="1" s="1"/>
  <c r="AX55" i="1"/>
  <c r="AV55" i="1" s="1"/>
  <c r="BH60" i="1"/>
  <c r="AB60" i="1" s="1"/>
  <c r="AT59" i="1"/>
  <c r="AX79" i="1"/>
  <c r="AV79" i="1" s="1"/>
  <c r="I79" i="1"/>
  <c r="I74" i="1" s="1"/>
  <c r="BI79" i="1"/>
  <c r="AC79" i="1" s="1"/>
  <c r="AW81" i="1"/>
  <c r="H81" i="1"/>
  <c r="H74" i="1" s="1"/>
  <c r="I111" i="1"/>
  <c r="BI111" i="1"/>
  <c r="AE111" i="1" s="1"/>
  <c r="AX111" i="1"/>
  <c r="AV111" i="1" s="1"/>
  <c r="H113" i="1"/>
  <c r="BH113" i="1"/>
  <c r="AW113" i="1"/>
  <c r="AV117" i="1"/>
  <c r="BH136" i="1"/>
  <c r="AD136" i="1" s="1"/>
  <c r="H151" i="1"/>
  <c r="BH151" i="1"/>
  <c r="AD151" i="1" s="1"/>
  <c r="AW151" i="1"/>
  <c r="AT185" i="1"/>
  <c r="BH199" i="1"/>
  <c r="AB199" i="1" s="1"/>
  <c r="AW199" i="1"/>
  <c r="AV75" i="1"/>
  <c r="C21" i="2"/>
  <c r="BC96" i="1"/>
  <c r="BH96" i="1"/>
  <c r="AD96" i="1" s="1"/>
  <c r="BI103" i="1"/>
  <c r="AE103" i="1" s="1"/>
  <c r="AU116" i="1"/>
  <c r="H126" i="1"/>
  <c r="BH126" i="1"/>
  <c r="AD126" i="1" s="1"/>
  <c r="AW126" i="1"/>
  <c r="AT140" i="1"/>
  <c r="BC146" i="1"/>
  <c r="I151" i="1"/>
  <c r="AX160" i="1"/>
  <c r="BC160" i="1" s="1"/>
  <c r="BI160" i="1"/>
  <c r="AE160" i="1" s="1"/>
  <c r="BC162" i="1"/>
  <c r="BH162" i="1"/>
  <c r="AD162" i="1" s="1"/>
  <c r="AL174" i="1"/>
  <c r="AU171" i="1" s="1"/>
  <c r="J171" i="1"/>
  <c r="BH174" i="1"/>
  <c r="AB174" i="1" s="1"/>
  <c r="AX190" i="1"/>
  <c r="AV190" i="1" s="1"/>
  <c r="I190" i="1"/>
  <c r="BI190" i="1"/>
  <c r="AC190" i="1" s="1"/>
  <c r="AW191" i="1"/>
  <c r="H191" i="1"/>
  <c r="H185" i="1" s="1"/>
  <c r="H216" i="1"/>
  <c r="AW216" i="1"/>
  <c r="I226" i="1"/>
  <c r="BI226" i="1"/>
  <c r="AC226" i="1" s="1"/>
  <c r="AX226" i="1"/>
  <c r="AV226" i="1" s="1"/>
  <c r="BC229" i="1"/>
  <c r="AW278" i="1"/>
  <c r="BH278" i="1"/>
  <c r="H278" i="1"/>
  <c r="I81" i="1"/>
  <c r="BI81" i="1"/>
  <c r="AC81" i="1" s="1"/>
  <c r="AT116" i="1"/>
  <c r="AL119" i="1"/>
  <c r="J116" i="1"/>
  <c r="I124" i="1"/>
  <c r="BI124" i="1"/>
  <c r="AE124" i="1" s="1"/>
  <c r="AV130" i="1"/>
  <c r="I136" i="1"/>
  <c r="I131" i="1" s="1"/>
  <c r="BI136" i="1"/>
  <c r="AE136" i="1" s="1"/>
  <c r="AX137" i="1"/>
  <c r="AV137" i="1" s="1"/>
  <c r="BI137" i="1"/>
  <c r="AE137" i="1" s="1"/>
  <c r="I137" i="1"/>
  <c r="BC143" i="1"/>
  <c r="BH143" i="1"/>
  <c r="AD143" i="1" s="1"/>
  <c r="AV172" i="1"/>
  <c r="AX176" i="1"/>
  <c r="I176" i="1"/>
  <c r="H181" i="1"/>
  <c r="H180" i="1" s="1"/>
  <c r="BH181" i="1"/>
  <c r="AB181" i="1" s="1"/>
  <c r="AW181" i="1"/>
  <c r="AW183" i="1"/>
  <c r="H183" i="1"/>
  <c r="BC200" i="1"/>
  <c r="AV200" i="1"/>
  <c r="I229" i="1"/>
  <c r="AX229" i="1"/>
  <c r="AV229" i="1" s="1"/>
  <c r="BI229" i="1"/>
  <c r="AC229" i="1" s="1"/>
  <c r="AU243" i="1"/>
  <c r="BH248" i="1"/>
  <c r="AF248" i="1" s="1"/>
  <c r="AW248" i="1"/>
  <c r="H248" i="1"/>
  <c r="AX250" i="1"/>
  <c r="AV250" i="1" s="1"/>
  <c r="BI250" i="1"/>
  <c r="AG250" i="1" s="1"/>
  <c r="C20" i="2"/>
  <c r="BH57" i="1"/>
  <c r="AB57" i="1" s="1"/>
  <c r="BI66" i="1"/>
  <c r="AC66" i="1" s="1"/>
  <c r="AT74" i="1"/>
  <c r="BC75" i="1"/>
  <c r="AX81" i="1"/>
  <c r="AV88" i="1"/>
  <c r="BC91" i="1"/>
  <c r="H96" i="1"/>
  <c r="I96" i="1"/>
  <c r="I90" i="1" s="1"/>
  <c r="BI96" i="1"/>
  <c r="AE96" i="1" s="1"/>
  <c r="AV103" i="1"/>
  <c r="AX124" i="1"/>
  <c r="AW129" i="1"/>
  <c r="H129" i="1"/>
  <c r="BH129" i="1"/>
  <c r="AD129" i="1" s="1"/>
  <c r="BC130" i="1"/>
  <c r="J131" i="1"/>
  <c r="BC137" i="1"/>
  <c r="BH139" i="1"/>
  <c r="AL143" i="1"/>
  <c r="AU140" i="1" s="1"/>
  <c r="J140" i="1"/>
  <c r="AV143" i="1"/>
  <c r="AV160" i="1"/>
  <c r="H162" i="1"/>
  <c r="H159" i="1" s="1"/>
  <c r="I162" i="1"/>
  <c r="I159" i="1" s="1"/>
  <c r="BI162" i="1"/>
  <c r="AE162" i="1" s="1"/>
  <c r="BI168" i="1"/>
  <c r="AE168" i="1" s="1"/>
  <c r="AT171" i="1"/>
  <c r="BC178" i="1"/>
  <c r="AV178" i="1"/>
  <c r="AV186" i="1"/>
  <c r="BH188" i="1"/>
  <c r="AB188" i="1" s="1"/>
  <c r="J193" i="1"/>
  <c r="J205" i="1"/>
  <c r="AL206" i="1"/>
  <c r="AU205" i="1" s="1"/>
  <c r="AV222" i="1"/>
  <c r="BC222" i="1"/>
  <c r="AL229" i="1"/>
  <c r="AU228" i="1" s="1"/>
  <c r="J228" i="1"/>
  <c r="AX233" i="1"/>
  <c r="AV233" i="1" s="1"/>
  <c r="I233" i="1"/>
  <c r="BI233" i="1"/>
  <c r="AC233" i="1" s="1"/>
  <c r="BC235" i="1"/>
  <c r="AS243" i="1"/>
  <c r="AL263" i="1"/>
  <c r="J243" i="1"/>
  <c r="I191" i="1"/>
  <c r="BI191" i="1"/>
  <c r="AC191" i="1" s="1"/>
  <c r="AT193" i="1"/>
  <c r="AV198" i="1"/>
  <c r="AV201" i="1"/>
  <c r="BC203" i="1"/>
  <c r="BH203" i="1"/>
  <c r="AB203" i="1" s="1"/>
  <c r="AW220" i="1"/>
  <c r="BH220" i="1"/>
  <c r="AB220" i="1" s="1"/>
  <c r="BH238" i="1"/>
  <c r="AB238" i="1" s="1"/>
  <c r="AW238" i="1"/>
  <c r="BH111" i="1"/>
  <c r="AD111" i="1" s="1"/>
  <c r="AS131" i="1"/>
  <c r="H137" i="1"/>
  <c r="BH137" i="1"/>
  <c r="AD137" i="1" s="1"/>
  <c r="I149" i="1"/>
  <c r="BI149" i="1"/>
  <c r="AE149" i="1" s="1"/>
  <c r="AV156" i="1"/>
  <c r="BC201" i="1"/>
  <c r="H203" i="1"/>
  <c r="BI203" i="1"/>
  <c r="AC203" i="1" s="1"/>
  <c r="H206" i="1"/>
  <c r="BH206" i="1"/>
  <c r="AB206" i="1" s="1"/>
  <c r="H220" i="1"/>
  <c r="H228" i="1"/>
  <c r="H238" i="1"/>
  <c r="AX238" i="1"/>
  <c r="BI238" i="1"/>
  <c r="AC238" i="1" s="1"/>
  <c r="AT243" i="1"/>
  <c r="AW269" i="1"/>
  <c r="BH269" i="1"/>
  <c r="AF269" i="1" s="1"/>
  <c r="AW287" i="1"/>
  <c r="H287" i="1"/>
  <c r="H285" i="1" s="1"/>
  <c r="H284" i="1" s="1"/>
  <c r="BH287" i="1"/>
  <c r="AX264" i="1"/>
  <c r="AV264" i="1" s="1"/>
  <c r="I264" i="1"/>
  <c r="BI264" i="1"/>
  <c r="AG264" i="1" s="1"/>
  <c r="I216" i="1"/>
  <c r="AX216" i="1"/>
  <c r="BC231" i="1"/>
  <c r="AV231" i="1"/>
  <c r="BC233" i="1"/>
  <c r="AV246" i="1"/>
  <c r="BC246" i="1"/>
  <c r="BC250" i="1"/>
  <c r="BC251" i="1"/>
  <c r="AV251" i="1"/>
  <c r="BC264" i="1"/>
  <c r="H218" i="1"/>
  <c r="AW218" i="1"/>
  <c r="BH218" i="1"/>
  <c r="AB218" i="1" s="1"/>
  <c r="AV241" i="1"/>
  <c r="BC242" i="1"/>
  <c r="H260" i="1"/>
  <c r="BH260" i="1"/>
  <c r="AF260" i="1" s="1"/>
  <c r="AW260" i="1"/>
  <c r="AW208" i="1"/>
  <c r="BH208" i="1"/>
  <c r="AB208" i="1" s="1"/>
  <c r="BC226" i="1"/>
  <c r="BH231" i="1"/>
  <c r="AB231" i="1" s="1"/>
  <c r="AS240" i="1"/>
  <c r="H249" i="1"/>
  <c r="AW249" i="1"/>
  <c r="BH249" i="1"/>
  <c r="AF249" i="1" s="1"/>
  <c r="H266" i="1"/>
  <c r="BH266" i="1"/>
  <c r="AF266" i="1" s="1"/>
  <c r="H281" i="1"/>
  <c r="BH281" i="1"/>
  <c r="AW281" i="1"/>
  <c r="H290" i="1"/>
  <c r="I251" i="1"/>
  <c r="I243" i="1" s="1"/>
  <c r="AX251" i="1"/>
  <c r="BI251" i="1"/>
  <c r="AG251" i="1" s="1"/>
  <c r="AX258" i="1"/>
  <c r="BI258" i="1"/>
  <c r="AG258" i="1" s="1"/>
  <c r="C19" i="2" s="1"/>
  <c r="I258" i="1"/>
  <c r="I259" i="1"/>
  <c r="BI259" i="1"/>
  <c r="AG259" i="1" s="1"/>
  <c r="BC261" i="1"/>
  <c r="AV261" i="1"/>
  <c r="AW263" i="1"/>
  <c r="BH263" i="1"/>
  <c r="AF263" i="1" s="1"/>
  <c r="H273" i="1"/>
  <c r="BH273" i="1"/>
  <c r="AW273" i="1"/>
  <c r="AX279" i="1"/>
  <c r="BC279" i="1" s="1"/>
  <c r="I279" i="1"/>
  <c r="BI279" i="1"/>
  <c r="AV282" i="1"/>
  <c r="AX218" i="1"/>
  <c r="BI218" i="1"/>
  <c r="AC218" i="1" s="1"/>
  <c r="I242" i="1"/>
  <c r="I240" i="1" s="1"/>
  <c r="AX242" i="1"/>
  <c r="AV242" i="1" s="1"/>
  <c r="BI242" i="1"/>
  <c r="H243" i="1"/>
  <c r="AX259" i="1"/>
  <c r="AV259" i="1" s="1"/>
  <c r="AW266" i="1"/>
  <c r="AX271" i="1"/>
  <c r="BC271" i="1" s="1"/>
  <c r="I271" i="1"/>
  <c r="BI271" i="1"/>
  <c r="AV275" i="1"/>
  <c r="AV279" i="1"/>
  <c r="BC286" i="1"/>
  <c r="BH286" i="1"/>
  <c r="AV288" i="1"/>
  <c r="AU285" i="1"/>
  <c r="I286" i="1"/>
  <c r="I285" i="1" s="1"/>
  <c r="BI286" i="1"/>
  <c r="BC291" i="1"/>
  <c r="BH291" i="1"/>
  <c r="I27" i="3"/>
  <c r="BI248" i="1"/>
  <c r="AG248" i="1" s="1"/>
  <c r="BH257" i="1"/>
  <c r="AF257" i="1" s="1"/>
  <c r="BC265" i="1"/>
  <c r="BH265" i="1"/>
  <c r="AF265" i="1" s="1"/>
  <c r="BC272" i="1"/>
  <c r="BH272" i="1"/>
  <c r="BC280" i="1"/>
  <c r="BH280" i="1"/>
  <c r="AU290" i="1"/>
  <c r="I291" i="1"/>
  <c r="I290" i="1" s="1"/>
  <c r="BI291" i="1"/>
  <c r="AV293" i="1"/>
  <c r="BH246" i="1"/>
  <c r="AF246" i="1" s="1"/>
  <c r="BH247" i="1"/>
  <c r="AF247" i="1" s="1"/>
  <c r="C18" i="2" s="1"/>
  <c r="I265" i="1"/>
  <c r="BI265" i="1"/>
  <c r="AG265" i="1" s="1"/>
  <c r="AL272" i="1"/>
  <c r="AU270" i="1" s="1"/>
  <c r="J270" i="1"/>
  <c r="I272" i="1"/>
  <c r="BI272" i="1"/>
  <c r="BH275" i="1"/>
  <c r="I280" i="1"/>
  <c r="BI280" i="1"/>
  <c r="BH282" i="1"/>
  <c r="J285" i="1"/>
  <c r="AX286" i="1"/>
  <c r="AV286" i="1" s="1"/>
  <c r="AV291" i="1"/>
  <c r="F41" i="3"/>
  <c r="I41" i="3" s="1"/>
  <c r="I45" i="3"/>
  <c r="I24" i="2" s="1"/>
  <c r="BH235" i="1"/>
  <c r="AB235" i="1" s="1"/>
  <c r="BI246" i="1"/>
  <c r="AG246" i="1" s="1"/>
  <c r="BH253" i="1"/>
  <c r="AF253" i="1" s="1"/>
  <c r="BH255" i="1"/>
  <c r="AF255" i="1" s="1"/>
  <c r="AV256" i="1"/>
  <c r="BC259" i="1"/>
  <c r="BH259" i="1"/>
  <c r="AF259" i="1" s="1"/>
  <c r="AV262" i="1"/>
  <c r="AV265" i="1"/>
  <c r="I266" i="1"/>
  <c r="H270" i="1"/>
  <c r="AV272" i="1"/>
  <c r="I273" i="1"/>
  <c r="AV276" i="1"/>
  <c r="AV280" i="1"/>
  <c r="I281" i="1"/>
  <c r="J290" i="1"/>
  <c r="AX291" i="1"/>
  <c r="H293" i="1"/>
  <c r="I22" i="2"/>
  <c r="F22" i="2"/>
  <c r="I18" i="3"/>
  <c r="AP115" i="1" l="1"/>
  <c r="AO115" i="1"/>
  <c r="BJ115" i="1"/>
  <c r="J115" i="1"/>
  <c r="BD115" i="1"/>
  <c r="AV28" i="1"/>
  <c r="BC28" i="1"/>
  <c r="AV98" i="1"/>
  <c r="BC98" i="1"/>
  <c r="AV25" i="1"/>
  <c r="BC25" i="1"/>
  <c r="BC196" i="1"/>
  <c r="AV196" i="1"/>
  <c r="BC34" i="1"/>
  <c r="BC129" i="1"/>
  <c r="AV129" i="1"/>
  <c r="AV248" i="1"/>
  <c r="BC248" i="1"/>
  <c r="AV39" i="1"/>
  <c r="BC39" i="1"/>
  <c r="BC101" i="1"/>
  <c r="AV101" i="1"/>
  <c r="F29" i="3"/>
  <c r="AV220" i="1"/>
  <c r="BC220" i="1"/>
  <c r="BC263" i="1"/>
  <c r="AV263" i="1"/>
  <c r="AV281" i="1"/>
  <c r="BC281" i="1"/>
  <c r="BC111" i="1"/>
  <c r="I185" i="1"/>
  <c r="AV210" i="1"/>
  <c r="BC210" i="1"/>
  <c r="BC22" i="1"/>
  <c r="AV22" i="1"/>
  <c r="BC258" i="1"/>
  <c r="AV258" i="1"/>
  <c r="AV260" i="1"/>
  <c r="BC260" i="1"/>
  <c r="I116" i="1"/>
  <c r="H59" i="1"/>
  <c r="H116" i="1"/>
  <c r="BC136" i="1"/>
  <c r="AV136" i="1"/>
  <c r="I205" i="1"/>
  <c r="J284" i="1"/>
  <c r="I284" i="1"/>
  <c r="AV271" i="1"/>
  <c r="AV266" i="1"/>
  <c r="BC266" i="1"/>
  <c r="AV273" i="1"/>
  <c r="BC273" i="1"/>
  <c r="BC287" i="1"/>
  <c r="AV287" i="1"/>
  <c r="AV238" i="1"/>
  <c r="BC238" i="1"/>
  <c r="AV181" i="1"/>
  <c r="BC181" i="1"/>
  <c r="AV126" i="1"/>
  <c r="BC126" i="1"/>
  <c r="AV113" i="1"/>
  <c r="BC113" i="1"/>
  <c r="BC53" i="1"/>
  <c r="BC55" i="1"/>
  <c r="AU12" i="1"/>
  <c r="AV50" i="1"/>
  <c r="BC50" i="1"/>
  <c r="BC124" i="1"/>
  <c r="AV124" i="1"/>
  <c r="BC48" i="1"/>
  <c r="BC191" i="1"/>
  <c r="AV191" i="1"/>
  <c r="AV70" i="1"/>
  <c r="BC70" i="1"/>
  <c r="AV84" i="1"/>
  <c r="BC84" i="1"/>
  <c r="BC269" i="1"/>
  <c r="AV269" i="1"/>
  <c r="AV199" i="1"/>
  <c r="BC199" i="1"/>
  <c r="H193" i="1"/>
  <c r="I270" i="1"/>
  <c r="BC249" i="1"/>
  <c r="AV249" i="1"/>
  <c r="AV208" i="1"/>
  <c r="BC208" i="1"/>
  <c r="AV176" i="1"/>
  <c r="BC176" i="1"/>
  <c r="BC149" i="1"/>
  <c r="AV149" i="1"/>
  <c r="AV218" i="1"/>
  <c r="BC218" i="1"/>
  <c r="H205" i="1"/>
  <c r="AV183" i="1"/>
  <c r="BC183" i="1"/>
  <c r="BC278" i="1"/>
  <c r="AV278" i="1"/>
  <c r="BC216" i="1"/>
  <c r="AV216" i="1"/>
  <c r="H90" i="1"/>
  <c r="I228" i="1"/>
  <c r="AV151" i="1"/>
  <c r="BC151" i="1"/>
  <c r="BC81" i="1"/>
  <c r="AV81" i="1"/>
  <c r="AV194" i="1"/>
  <c r="BC194" i="1"/>
  <c r="BC79" i="1"/>
  <c r="AV36" i="1"/>
  <c r="BC36" i="1"/>
  <c r="I140" i="1"/>
  <c r="BC153" i="1"/>
  <c r="AV153" i="1"/>
  <c r="BI115" i="1" l="1"/>
  <c r="AE115" i="1" s="1"/>
  <c r="C17" i="2" s="1"/>
  <c r="AX115" i="1"/>
  <c r="AV115" i="1" s="1"/>
  <c r="I115" i="1"/>
  <c r="I114" i="1" s="1"/>
  <c r="AL115" i="1"/>
  <c r="J114" i="1"/>
  <c r="J295" i="1" s="1"/>
  <c r="AW115" i="1"/>
  <c r="H115" i="1"/>
  <c r="H114" i="1" s="1"/>
  <c r="BH115" i="1"/>
  <c r="AD115" i="1" s="1"/>
  <c r="C16" i="2" s="1"/>
  <c r="C22" i="2" s="1"/>
  <c r="BC115" i="1" l="1"/>
  <c r="AU114" i="1"/>
  <c r="C29" i="2"/>
  <c r="F29" i="2" l="1"/>
  <c r="I28" i="2"/>
  <c r="I29" i="2" s="1"/>
</calcChain>
</file>

<file path=xl/sharedStrings.xml><?xml version="1.0" encoding="utf-8"?>
<sst xmlns="http://schemas.openxmlformats.org/spreadsheetml/2006/main" count="2686" uniqueCount="846">
  <si>
    <t>Slepý stavební rozpočet</t>
  </si>
  <si>
    <t>Název stavby:</t>
  </si>
  <si>
    <t>Stavební úpravy jídelny MŠ Na Kopečku</t>
  </si>
  <si>
    <t>Doba výstavby:</t>
  </si>
  <si>
    <t xml:space="preserve"> </t>
  </si>
  <si>
    <t>Objednatel:</t>
  </si>
  <si>
    <t> </t>
  </si>
  <si>
    <t>Druh stavby:</t>
  </si>
  <si>
    <t>Začátek výstavby:</t>
  </si>
  <si>
    <t>05.02.2026</t>
  </si>
  <si>
    <t>Projektant:</t>
  </si>
  <si>
    <t>Lokalita:</t>
  </si>
  <si>
    <t>Konec výstavby:</t>
  </si>
  <si>
    <t>Zhotovitel:</t>
  </si>
  <si>
    <t>JKSO:</t>
  </si>
  <si>
    <t>8013113</t>
  </si>
  <si>
    <t>Zpracováno dne:</t>
  </si>
  <si>
    <t>Zpracoval:</t>
  </si>
  <si>
    <t>Ing. Holík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</si>
  <si>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</si>
  <si>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</si>
  <si>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</si>
  <si>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</si>
  <si>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</si>
  <si>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</si>
  <si>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</si>
  <si>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</si>
  <si>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</si>
  <si>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</si>
  <si>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</si>
  <si>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</si>
  <si>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</si>
  <si>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</si>
  <si>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</si>
  <si>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</si>
  <si>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</si>
  <si>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</si>
  <si>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</si>
  <si>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</si>
  <si>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</si>
  <si>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</si>
  <si>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</si>
  <si>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</si>
  <si>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</si>
  <si>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</si>
  <si>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</si>
  <si>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</si>
  <si>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</si>
  <si>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</si>
  <si>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13</t>
  </si>
  <si>
    <t>Hloubené vykopávky</t>
  </si>
  <si>
    <t>1</t>
  </si>
  <si>
    <t>139711101RT3</t>
  </si>
  <si>
    <t>Vykopávka v uzavřených prostorách v hor.1-4</t>
  </si>
  <si>
    <t>m3</t>
  </si>
  <si>
    <t>RTS II / 2025</t>
  </si>
  <si>
    <t>13_</t>
  </si>
  <si>
    <t>_</t>
  </si>
  <si>
    <t>P</t>
  </si>
  <si>
    <t>36,4*0,2</t>
  </si>
  <si>
    <t>zemina pod podlahou</t>
  </si>
  <si>
    <t>16</t>
  </si>
  <si>
    <t>Přemístění výkopku</t>
  </si>
  <si>
    <t>2</t>
  </si>
  <si>
    <t>161101501R00</t>
  </si>
  <si>
    <t>Svislé přemístění výkopku z hor. 1-4 ruční</t>
  </si>
  <si>
    <t>16_</t>
  </si>
  <si>
    <t>7,28</t>
  </si>
  <si>
    <t>vytěžená zemina</t>
  </si>
  <si>
    <t>3</t>
  </si>
  <si>
    <t>162201201R00</t>
  </si>
  <si>
    <t>Vodorovné přemístění výkopku horniny tř. 1 - 4, do 10 m, nošením</t>
  </si>
  <si>
    <t>4</t>
  </si>
  <si>
    <t>162201203R00</t>
  </si>
  <si>
    <t>Vodorovné přemístění výkopku horniny tř. 1 - 4, do 10 m, kolečkem</t>
  </si>
  <si>
    <t>5</t>
  </si>
  <si>
    <t>162701105R00</t>
  </si>
  <si>
    <t>Vodorovné přemístění výkopku z hor.1-4 do 10000 m</t>
  </si>
  <si>
    <t>odvoz na skládku</t>
  </si>
  <si>
    <t>21</t>
  </si>
  <si>
    <t>Úprava podloží a základové spáry</t>
  </si>
  <si>
    <t>6</t>
  </si>
  <si>
    <t>215901101RT5</t>
  </si>
  <si>
    <t>Zhutnění podloží z hornin nesoudržných do 92% PS vibrační deskou</t>
  </si>
  <si>
    <t>m2</t>
  </si>
  <si>
    <t>21_</t>
  </si>
  <si>
    <t>36,4</t>
  </si>
  <si>
    <t>podloží</t>
  </si>
  <si>
    <t>27</t>
  </si>
  <si>
    <t>Základy</t>
  </si>
  <si>
    <t>7</t>
  </si>
  <si>
    <t>271531113R00</t>
  </si>
  <si>
    <t>Polštář základu z kameniva hr. drceného 0-45 mm</t>
  </si>
  <si>
    <t>27_</t>
  </si>
  <si>
    <t>36,4*0,1</t>
  </si>
  <si>
    <t>pod desku</t>
  </si>
  <si>
    <t>8</t>
  </si>
  <si>
    <t>273326141R00</t>
  </si>
  <si>
    <t>Zákl. desky z betonu železového vodostaveb. C30/37</t>
  </si>
  <si>
    <t>36,4*0,25</t>
  </si>
  <si>
    <t>základ deska</t>
  </si>
  <si>
    <t>9</t>
  </si>
  <si>
    <t>273361821R00</t>
  </si>
  <si>
    <t>Výztuž základových desek z betonářské oceli B500B (10 505)</t>
  </si>
  <si>
    <t>t</t>
  </si>
  <si>
    <t>0,241</t>
  </si>
  <si>
    <t>dle výpisu výztuže</t>
  </si>
  <si>
    <t>10</t>
  </si>
  <si>
    <t>273361921RT8</t>
  </si>
  <si>
    <t>Výztuž základových desek ze svařovaných sítí</t>
  </si>
  <si>
    <t>0,758</t>
  </si>
  <si>
    <t>11</t>
  </si>
  <si>
    <t>279323511R00</t>
  </si>
  <si>
    <t>Železobeton základových zdí vodostavební C 30/37</t>
  </si>
  <si>
    <t>(5,54+4,62+1,76+1,79+1,83+1,82+1,84+4,49)*2,73*0,15</t>
  </si>
  <si>
    <t>-1,09*2,38*0,15-(1,01+1,08+1,15+2*1,12+1,19)*1,14*0,15</t>
  </si>
  <si>
    <t>odpočet dveří a oken</t>
  </si>
  <si>
    <t>12</t>
  </si>
  <si>
    <t>279351101R00</t>
  </si>
  <si>
    <t>Bednění stěn základových zdí, jednostranné - zřízení</t>
  </si>
  <si>
    <t>(5,54+4,62+1,76+1,79+1,83+1,82+1,84+4,49)*2,73</t>
  </si>
  <si>
    <t>základní plocha</t>
  </si>
  <si>
    <t>(1,09+2*2,38+1,01+1,08+1,15+2*1,12+1,19+12*1,14)*0,15</t>
  </si>
  <si>
    <t>ostění</t>
  </si>
  <si>
    <t>279351102R00</t>
  </si>
  <si>
    <t>Bednění stěn základových zdí, jednostranné - odstranění</t>
  </si>
  <si>
    <t>14</t>
  </si>
  <si>
    <t>279361821R00</t>
  </si>
  <si>
    <t>Výztuž základových zdí z betonářské oceli B500B (10 505)</t>
  </si>
  <si>
    <t>1,155</t>
  </si>
  <si>
    <t>15</t>
  </si>
  <si>
    <t>278311061R00</t>
  </si>
  <si>
    <t>Zálivka kotevních otvorů C 25/30 XF1 do 0,02 m3</t>
  </si>
  <si>
    <t>7*0,2*0,2*0,05</t>
  </si>
  <si>
    <t>podlití kotevních desek</t>
  </si>
  <si>
    <t>41</t>
  </si>
  <si>
    <t>Stropy a stropní konstrukce (pro pozemní stavby)</t>
  </si>
  <si>
    <t>411321315R00</t>
  </si>
  <si>
    <t>Stropy deskové ze železobetonu C 20/25</t>
  </si>
  <si>
    <t>41_</t>
  </si>
  <si>
    <t>41,94*0,18</t>
  </si>
  <si>
    <t>17</t>
  </si>
  <si>
    <t>411351201R00</t>
  </si>
  <si>
    <t>Bednění stropů deskových, podepření výšky do 3,5 m, zatížení do 5 kPa</t>
  </si>
  <si>
    <t>32,94</t>
  </si>
  <si>
    <t>prostor mezi stěnami</t>
  </si>
  <si>
    <t>18</t>
  </si>
  <si>
    <t>411351202R00</t>
  </si>
  <si>
    <t>Odstranění bednění stropů deskových, podepření výšky do 3,5 m, zatížení do 5 kPa</t>
  </si>
  <si>
    <t>19</t>
  </si>
  <si>
    <t>411351901R00</t>
  </si>
  <si>
    <t>Bednění prostupů ve stropních deskách plochy do 0,06 m2</t>
  </si>
  <si>
    <t>kus</t>
  </si>
  <si>
    <t>pro topení</t>
  </si>
  <si>
    <t>20</t>
  </si>
  <si>
    <t>411361721R00</t>
  </si>
  <si>
    <t>Výztuž stropů z oceli B500B (dříve BSt 500 S)</t>
  </si>
  <si>
    <t>0,153</t>
  </si>
  <si>
    <t>411361921RT8</t>
  </si>
  <si>
    <t>Výztuž stropů svařovanou sítí</t>
  </si>
  <si>
    <t>0,853</t>
  </si>
  <si>
    <t>61</t>
  </si>
  <si>
    <t>Úprava povrchů vnitřní</t>
  </si>
  <si>
    <t>22</t>
  </si>
  <si>
    <t>611481211RT2</t>
  </si>
  <si>
    <t>Montáž výztužné sítě (perlinky) do stěrky - stropy vnitřní včetně materiálu</t>
  </si>
  <si>
    <t>61_</t>
  </si>
  <si>
    <t>sklad nábytku</t>
  </si>
  <si>
    <t>23</t>
  </si>
  <si>
    <t>611471411R00</t>
  </si>
  <si>
    <t>Úprava stropů aktivovaným štukem tl. 2 - 3 mm</t>
  </si>
  <si>
    <t>24</t>
  </si>
  <si>
    <t>612401291R00</t>
  </si>
  <si>
    <t>Omítka malých ploch vnitřních stěn do 0,25 m2</t>
  </si>
  <si>
    <t>odhad - drobné opravy</t>
  </si>
  <si>
    <t>25</t>
  </si>
  <si>
    <t>612401391R00</t>
  </si>
  <si>
    <t>Omítka malých ploch vnitřních stěn do 1 m2</t>
  </si>
  <si>
    <t>26</t>
  </si>
  <si>
    <t>612421431R00</t>
  </si>
  <si>
    <t>Oprava vápen.omítek stěn do 50 % pl. - štukových</t>
  </si>
  <si>
    <t>(3,29+4,89+1,77+1,79+1,83+1,82+1,84+4,84+0,32)*0,75</t>
  </si>
  <si>
    <t>parapetní zdivo</t>
  </si>
  <si>
    <t>612425931R00</t>
  </si>
  <si>
    <t>Omítka vápenná vnitřního ostění - štuková</t>
  </si>
  <si>
    <t>(1,09+2*2,38+1,01+1,08+1,15+2*1,12+1,19+12*1,14)*0,3</t>
  </si>
  <si>
    <t>okna suteren</t>
  </si>
  <si>
    <t>28</t>
  </si>
  <si>
    <t>612100020RA0</t>
  </si>
  <si>
    <t>Začištění omítek kolem oken a dveří</t>
  </si>
  <si>
    <t>m</t>
  </si>
  <si>
    <t>2,32+2*2,96+1,09+2*2,38</t>
  </si>
  <si>
    <t>vstupní dveře</t>
  </si>
  <si>
    <t>63</t>
  </si>
  <si>
    <t>Podlahy a podlahové konstrukce</t>
  </si>
  <si>
    <t>29</t>
  </si>
  <si>
    <t>631312711R00</t>
  </si>
  <si>
    <t>Mazanina betonová tl. 5 - 8 cm C 25/30</t>
  </si>
  <si>
    <t>63_</t>
  </si>
  <si>
    <t>32,94*0,045</t>
  </si>
  <si>
    <t>41,94*0,065</t>
  </si>
  <si>
    <t>jídelna</t>
  </si>
  <si>
    <t>30</t>
  </si>
  <si>
    <t>631319171R00</t>
  </si>
  <si>
    <t>Příplatek za stržení povrchu mazaniny tl. 8 cm</t>
  </si>
  <si>
    <t>31</t>
  </si>
  <si>
    <t>631361921RT1</t>
  </si>
  <si>
    <t>Výztuž mazanin svařovanou sítí</t>
  </si>
  <si>
    <t>41,94*0,002*1,25</t>
  </si>
  <si>
    <t>32</t>
  </si>
  <si>
    <t>632415104RT3</t>
  </si>
  <si>
    <t>Potěr samonivelační ručně tl. 4 mm rychleschnoucí vč. penetrace</t>
  </si>
  <si>
    <t>32,94+41,94</t>
  </si>
  <si>
    <t>sklad nábytku + jídelna</t>
  </si>
  <si>
    <t>64</t>
  </si>
  <si>
    <t>Výplně otvorů</t>
  </si>
  <si>
    <t>33</t>
  </si>
  <si>
    <t>642942212R00</t>
  </si>
  <si>
    <t>Osazení zárubně do sádrokarton. příčky tl. 100 mm</t>
  </si>
  <si>
    <t>64_</t>
  </si>
  <si>
    <t>provizorní dveře</t>
  </si>
  <si>
    <t>34</t>
  </si>
  <si>
    <t>55330382</t>
  </si>
  <si>
    <t>Zárubeň provizorní rozměr 800 x 1970 mm L/P</t>
  </si>
  <si>
    <t>M</t>
  </si>
  <si>
    <t>711</t>
  </si>
  <si>
    <t>Izolace proti vodě</t>
  </si>
  <si>
    <t>35</t>
  </si>
  <si>
    <t>711140101R00</t>
  </si>
  <si>
    <t>Odstranění izolace proti vlhkosti, na ploše vodorovné, asfaltové pásy přitavením, 1 vrstva</t>
  </si>
  <si>
    <t>711_</t>
  </si>
  <si>
    <t>713</t>
  </si>
  <si>
    <t>Izolace tepelné</t>
  </si>
  <si>
    <t>36</t>
  </si>
  <si>
    <t>713111111R00</t>
  </si>
  <si>
    <t>Montáž tepelné izolace stropů vrchem kladené, volně</t>
  </si>
  <si>
    <t>713_</t>
  </si>
  <si>
    <t>41,94</t>
  </si>
  <si>
    <t>nad jídelnou</t>
  </si>
  <si>
    <t>37</t>
  </si>
  <si>
    <t>631530005</t>
  </si>
  <si>
    <t>Rohož izolační MW, 032 tl. 140 mm</t>
  </si>
  <si>
    <t>;ztratné 10%; 4,194</t>
  </si>
  <si>
    <t>38</t>
  </si>
  <si>
    <t>713111127RT2</t>
  </si>
  <si>
    <t>Montáž tepelné izolace stropů rovných spodem, na tmel a hmoždinky</t>
  </si>
  <si>
    <t>39</t>
  </si>
  <si>
    <t>631403085</t>
  </si>
  <si>
    <t>Deska izolační MW, tl. 80 mm, podélná vlákna, fasádní</t>
  </si>
  <si>
    <t>;ztratné 5%; 1,647</t>
  </si>
  <si>
    <t>40</t>
  </si>
  <si>
    <t>713121111R00</t>
  </si>
  <si>
    <t>Montáž tepelné nebo kročejové izolace podlah na sucho, jednovrstvé</t>
  </si>
  <si>
    <t>631538062</t>
  </si>
  <si>
    <t>Deska izolační MW, tl. 30 mm, podlahová kročejová</t>
  </si>
  <si>
    <t>;ztratné 5%; 2,097</t>
  </si>
  <si>
    <t>42</t>
  </si>
  <si>
    <t>713121118R00</t>
  </si>
  <si>
    <t>Montáž dilatačního pásku podél stěn</t>
  </si>
  <si>
    <t>5,93+4,89+1,77+1,79+1,83+1,82+1,84+4,84</t>
  </si>
  <si>
    <t>43</t>
  </si>
  <si>
    <t>28375328</t>
  </si>
  <si>
    <t>Pásek dilatační okrajový š. 100 mm tl. 5 mm</t>
  </si>
  <si>
    <t>24,71</t>
  </si>
  <si>
    <t>;ztratné 5%; 1,2355</t>
  </si>
  <si>
    <t>44</t>
  </si>
  <si>
    <t>713191100RT9</t>
  </si>
  <si>
    <t>Položení separační fólie vč. dodávky folie</t>
  </si>
  <si>
    <t>45</t>
  </si>
  <si>
    <t>998713101R00</t>
  </si>
  <si>
    <t>Přesun hmot pro izolace tepelné, v objektech výšky do 6 m</t>
  </si>
  <si>
    <t>731</t>
  </si>
  <si>
    <t>Kotelny</t>
  </si>
  <si>
    <t>46</t>
  </si>
  <si>
    <t>731000000VD</t>
  </si>
  <si>
    <t>Vytápění dle samostatného rozpočtu</t>
  </si>
  <si>
    <t>Soub</t>
  </si>
  <si>
    <t>731_</t>
  </si>
  <si>
    <t>762</t>
  </si>
  <si>
    <t>Konstrukce tesařské</t>
  </si>
  <si>
    <t>47</t>
  </si>
  <si>
    <t>762112110R00</t>
  </si>
  <si>
    <t>Montáž konstrukce stěn z řeziva hraněného, plochy do 120 cm2</t>
  </si>
  <si>
    <t>762_</t>
  </si>
  <si>
    <t>4*2,96+3*2,32</t>
  </si>
  <si>
    <t>provizorní příčka</t>
  </si>
  <si>
    <t>48</t>
  </si>
  <si>
    <t>605152001</t>
  </si>
  <si>
    <t>Hranolek stavební SM do 100 x 100 mm, 1 - 4 m</t>
  </si>
  <si>
    <t>18,8*0,1*0,1</t>
  </si>
  <si>
    <t>;ztratné 10%; 0,019</t>
  </si>
  <si>
    <t>49</t>
  </si>
  <si>
    <t>762112811R00</t>
  </si>
  <si>
    <t>Demontáž stěn z polohraněného řeziva</t>
  </si>
  <si>
    <t>2,32*2,96</t>
  </si>
  <si>
    <t>50</t>
  </si>
  <si>
    <t>762431225R00</t>
  </si>
  <si>
    <t>Montáž obložení stěn OSB deskami</t>
  </si>
  <si>
    <t>51</t>
  </si>
  <si>
    <t>60726014.A</t>
  </si>
  <si>
    <t>Deska dřevoštěpková OSB 3, nebroušená 4PD tl. 18 mm</t>
  </si>
  <si>
    <t>6,87</t>
  </si>
  <si>
    <t>;ztratné 10%; 0,687</t>
  </si>
  <si>
    <t>52</t>
  </si>
  <si>
    <t>762495000R00</t>
  </si>
  <si>
    <t>Spojovací a ochranné prostředky obložení stěn, stropů</t>
  </si>
  <si>
    <t>53</t>
  </si>
  <si>
    <t>762195000R00</t>
  </si>
  <si>
    <t>Spojovací a ochranné prostředky pro montáž stěn</t>
  </si>
  <si>
    <t>766</t>
  </si>
  <si>
    <t>Konstrukce truhlářské</t>
  </si>
  <si>
    <t>54</t>
  </si>
  <si>
    <t>766621921R00</t>
  </si>
  <si>
    <t>Oprava oken jednod. otevíravých bez výměny prvků</t>
  </si>
  <si>
    <t>766_</t>
  </si>
  <si>
    <t>(1,96+2,3+2*2,4+2*1,75+3*1,8+0,8)*2,56</t>
  </si>
  <si>
    <t>zprovoznění plastových oken</t>
  </si>
  <si>
    <t>55</t>
  </si>
  <si>
    <t>766662112R00</t>
  </si>
  <si>
    <t>Montáž dveří do rám.zárubně 1kříd. š.do 80 cm</t>
  </si>
  <si>
    <t>56</t>
  </si>
  <si>
    <t>611603257</t>
  </si>
  <si>
    <t>Dveře provizorní 800 x 1970 plné</t>
  </si>
  <si>
    <t>57</t>
  </si>
  <si>
    <t>766699611R00</t>
  </si>
  <si>
    <t>Montáž krytů topných těles natřených</t>
  </si>
  <si>
    <t>12*0,75*2</t>
  </si>
  <si>
    <t>demontáž + zpětná montáž</t>
  </si>
  <si>
    <t>58</t>
  </si>
  <si>
    <t>998766101R00</t>
  </si>
  <si>
    <t>Přesun hmot pro truhlářské konstrukce, v objektech výšky do 6 m</t>
  </si>
  <si>
    <t>776</t>
  </si>
  <si>
    <t>Podlahy povlakové</t>
  </si>
  <si>
    <t>59</t>
  </si>
  <si>
    <t>776401800R00</t>
  </si>
  <si>
    <t>Demontáž soklíků nebo lišt, pryžových nebo z PVC</t>
  </si>
  <si>
    <t>776_</t>
  </si>
  <si>
    <t>60</t>
  </si>
  <si>
    <t>776421100R00</t>
  </si>
  <si>
    <t>Lepení podlahových soklíků z PVC a vinylu</t>
  </si>
  <si>
    <t>5,54+4,62+1,76+1,79+1,83+1,82+1,84+4,49</t>
  </si>
  <si>
    <t>28342400</t>
  </si>
  <si>
    <t>Lišta podlahová z měkčeného PVC</t>
  </si>
  <si>
    <t>48,4</t>
  </si>
  <si>
    <t>;ztratné 5%; 2,42</t>
  </si>
  <si>
    <t>62</t>
  </si>
  <si>
    <t>776511810R00</t>
  </si>
  <si>
    <t>Odstranění povlakové podlahy z PVC a koberců lepených bez podložky</t>
  </si>
  <si>
    <t>776521200R00</t>
  </si>
  <si>
    <t>Lepení povlakové podlahy z dílců PVC a CV (vinyl)</t>
  </si>
  <si>
    <t>41,94+32,94</t>
  </si>
  <si>
    <t>jídelna + sklad nábytku</t>
  </si>
  <si>
    <t>284123003</t>
  </si>
  <si>
    <t>Podlahovina vinylová pro vyšší zátěž tl. 2,0 mm, š. role 2,0 m</t>
  </si>
  <si>
    <t>74,88</t>
  </si>
  <si>
    <t>;ztratné 10%; 7,488</t>
  </si>
  <si>
    <t>65</t>
  </si>
  <si>
    <t>776994111R00</t>
  </si>
  <si>
    <t>Svařování spojů povlakových pásů nebo čtverců z vinylu (PVC) na podlahách</t>
  </si>
  <si>
    <t>3*6+3*5,25</t>
  </si>
  <si>
    <t>66</t>
  </si>
  <si>
    <t>998776101R00</t>
  </si>
  <si>
    <t>Přesun hmot pro podlahy povlakové, v objektech výšky do 6 m</t>
  </si>
  <si>
    <t>784</t>
  </si>
  <si>
    <t>Malby</t>
  </si>
  <si>
    <t>67</t>
  </si>
  <si>
    <t>784011222R00</t>
  </si>
  <si>
    <t>Zakrytí podlah, včetně odstranění</t>
  </si>
  <si>
    <t>784_</t>
  </si>
  <si>
    <t>68</t>
  </si>
  <si>
    <t>784161101R00</t>
  </si>
  <si>
    <t>Penetrace podkladu nátěrem 1x</t>
  </si>
  <si>
    <t>(5,54+4,62+1,76+1,79+1,83+1,82+1,84+4,49)*2,73+32,94</t>
  </si>
  <si>
    <t>sklad materiálu</t>
  </si>
  <si>
    <t>odpočet oken a dveří</t>
  </si>
  <si>
    <t>(1,09+2*2,38+1,01+1,08+1,15+2*1,12+1,19+12*1,14+1,09+2*2,38)*0,35</t>
  </si>
  <si>
    <t>(1,98+4,89+1,77+1,79+1,83+1,82+1,84+4,84)*0,75+41,94</t>
  </si>
  <si>
    <t>4,25*3,4-2,32*2,96+(2,32+2*2,96)*0,55</t>
  </si>
  <si>
    <t>69</t>
  </si>
  <si>
    <t>784165512R00</t>
  </si>
  <si>
    <t>Malba z hotových směsí, bílá, bez penetrace, 2 x</t>
  </si>
  <si>
    <t>70</t>
  </si>
  <si>
    <t>784011211RT3</t>
  </si>
  <si>
    <t>Olepování vnitřních ploch včetně pásek</t>
  </si>
  <si>
    <t>2,0+4,89+1,77+1,79+1,83+1,82+1,84+4,84</t>
  </si>
  <si>
    <t>okolo oken jídelna</t>
  </si>
  <si>
    <t>90</t>
  </si>
  <si>
    <t>Hodinové zúčtovací sazby (HZS)</t>
  </si>
  <si>
    <t>71</t>
  </si>
  <si>
    <t>900      R01</t>
  </si>
  <si>
    <t>HZS - stavebník dělní v tarifní třídě 4</t>
  </si>
  <si>
    <t>h</t>
  </si>
  <si>
    <t>90_</t>
  </si>
  <si>
    <t>pomocné práce, drobné bourání</t>
  </si>
  <si>
    <t>72</t>
  </si>
  <si>
    <t>900      R25</t>
  </si>
  <si>
    <t>HZS - elektromontér</t>
  </si>
  <si>
    <t>prověření stávajících rozvodů, drobné montáže</t>
  </si>
  <si>
    <t>73</t>
  </si>
  <si>
    <t>900      R45</t>
  </si>
  <si>
    <t>HZS - práce PSV v tarifní třídě 8</t>
  </si>
  <si>
    <t>úprava krytů topení</t>
  </si>
  <si>
    <t>74</t>
  </si>
  <si>
    <t>910      R00</t>
  </si>
  <si>
    <t>Hzs - predbezne obhlidky a revize</t>
  </si>
  <si>
    <t>revize</t>
  </si>
  <si>
    <t>93</t>
  </si>
  <si>
    <t>Různé dokončovací konstrukce a práce inženýrských staveb</t>
  </si>
  <si>
    <t>75</t>
  </si>
  <si>
    <t>931981011R00</t>
  </si>
  <si>
    <t>Těsnění prac.spár bentonit.páskou 20x25 mm,mřížka</t>
  </si>
  <si>
    <t>93_</t>
  </si>
  <si>
    <t>76</t>
  </si>
  <si>
    <t>931961115R00</t>
  </si>
  <si>
    <t>Vložky do dilatačních spár, polystyren, tl 30 mm</t>
  </si>
  <si>
    <t>(1,95+0,75+1,25)*3,0</t>
  </si>
  <si>
    <t>94</t>
  </si>
  <si>
    <t>Lešení a stavební výtahy</t>
  </si>
  <si>
    <t>77</t>
  </si>
  <si>
    <t>941941031R00</t>
  </si>
  <si>
    <t>Montáž lešení lehkého řadového s podlahami, š. do 1 m, výšky do 10 m</t>
  </si>
  <si>
    <t>94_</t>
  </si>
  <si>
    <t>3*6</t>
  </si>
  <si>
    <t>venkovní lešení pro přístup do jídelny</t>
  </si>
  <si>
    <t>78</t>
  </si>
  <si>
    <t>941941191R00</t>
  </si>
  <si>
    <t>Příplatek za použití lešení lehkého řadového s podlahami, š. do 1 m, výšky do 10 m</t>
  </si>
  <si>
    <t>5*18</t>
  </si>
  <si>
    <t>79</t>
  </si>
  <si>
    <t>941941831R00</t>
  </si>
  <si>
    <t>Demontáž lešení lehkého řadového s podlahami, š. do 1 m, výšky do 10 m</t>
  </si>
  <si>
    <t>80</t>
  </si>
  <si>
    <t>941955001R00</t>
  </si>
  <si>
    <t>Lešení lehké pomocné, výška podlahy do 1,2 m</t>
  </si>
  <si>
    <t>95</t>
  </si>
  <si>
    <t>Různé dokončovací konstrukce a práce na pozemních stavbách</t>
  </si>
  <si>
    <t>81</t>
  </si>
  <si>
    <t>952901111R00</t>
  </si>
  <si>
    <t>Vyčištění budov o výšce podlaží do 4 m</t>
  </si>
  <si>
    <t>95_</t>
  </si>
  <si>
    <t>82</t>
  </si>
  <si>
    <t>952902110R00</t>
  </si>
  <si>
    <t>Zametání v místnostech, chodbách, na  schodišti a na půdách</t>
  </si>
  <si>
    <t>(11,75+14,85+4,8+6,95)*4</t>
  </si>
  <si>
    <t>pravidelný úklid suteren</t>
  </si>
  <si>
    <t>83</t>
  </si>
  <si>
    <t>953941312R00</t>
  </si>
  <si>
    <t>Osazení požárního hasicího přístroje na stěnu</t>
  </si>
  <si>
    <t>84</t>
  </si>
  <si>
    <t>44984102</t>
  </si>
  <si>
    <t>Přístroj hasicí práškový s hasící schopností 13A</t>
  </si>
  <si>
    <t>85</t>
  </si>
  <si>
    <t>953941395R00</t>
  </si>
  <si>
    <t>Vystavení revizní zprávy-požární hasicí přístroj</t>
  </si>
  <si>
    <t>86</t>
  </si>
  <si>
    <t>953981201R00</t>
  </si>
  <si>
    <t>Chemické kotvy, beton, hl. 80 mm, M8, malta 2složk</t>
  </si>
  <si>
    <t>170</t>
  </si>
  <si>
    <t>kotvy do zdiva</t>
  </si>
  <si>
    <t>87</t>
  </si>
  <si>
    <t>959000001VD</t>
  </si>
  <si>
    <t>Požární značení</t>
  </si>
  <si>
    <t>ks</t>
  </si>
  <si>
    <t>luminisenční značky</t>
  </si>
  <si>
    <t>96</t>
  </si>
  <si>
    <t>Bourání konstrukcí</t>
  </si>
  <si>
    <t>88</t>
  </si>
  <si>
    <t>961044111R00</t>
  </si>
  <si>
    <t>Bourání základů z betonu prostého</t>
  </si>
  <si>
    <t>96_</t>
  </si>
  <si>
    <t>0,9*0,7*0,2</t>
  </si>
  <si>
    <t>patka pod sloupem</t>
  </si>
  <si>
    <t>89</t>
  </si>
  <si>
    <t>962031113R00</t>
  </si>
  <si>
    <t>Bourání příček z cihel pálených plných tl. 65 mm</t>
  </si>
  <si>
    <t>2,4*2,68</t>
  </si>
  <si>
    <t>suteren</t>
  </si>
  <si>
    <t>962031116R00</t>
  </si>
  <si>
    <t>Bourání příček z cihel pálených plných tl. 140 mm</t>
  </si>
  <si>
    <t>(0,5+1,9)*2,68</t>
  </si>
  <si>
    <t>91</t>
  </si>
  <si>
    <t>962032231R00</t>
  </si>
  <si>
    <t>Bourání zdiva z cihel pálených na MVC</t>
  </si>
  <si>
    <t>0,7*0,54*2,68</t>
  </si>
  <si>
    <t>92</t>
  </si>
  <si>
    <t>963051113R00</t>
  </si>
  <si>
    <t>Bourání ŽB stropů deskových tl. nad 8 cm</t>
  </si>
  <si>
    <t>41,94*0,2</t>
  </si>
  <si>
    <t>žb strop</t>
  </si>
  <si>
    <t>964072231R00</t>
  </si>
  <si>
    <t>Vybourání nosníků ze zdi smíšené dl. 4 m, 35 kg/m</t>
  </si>
  <si>
    <t>5*5,9*0,026</t>
  </si>
  <si>
    <t>stropní nosníky</t>
  </si>
  <si>
    <t>965042141RT1</t>
  </si>
  <si>
    <t>Bourání mazanin betonových tl. 10 cm, nad 4 m2 ručně tl. 5-8 cm</t>
  </si>
  <si>
    <t>41,94*0,06</t>
  </si>
  <si>
    <t>podlaha jídelna</t>
  </si>
  <si>
    <t>965042141RT4</t>
  </si>
  <si>
    <t>Bourání mazanin betonových tl. 10 cm, nad 4 m2 tl. 8-10 cm</t>
  </si>
  <si>
    <t>2*36,4*0,1</t>
  </si>
  <si>
    <t>podlaha + podkladní mazanina 1.PP</t>
  </si>
  <si>
    <t>965082923R00</t>
  </si>
  <si>
    <t>Odstranění násypu tl. do 10 cm, plocha nad 2 m2</t>
  </si>
  <si>
    <t>41,94*0,04</t>
  </si>
  <si>
    <t>97</t>
  </si>
  <si>
    <t>966079881R00</t>
  </si>
  <si>
    <t>Přerušení ocelových profilů průřezu do 7 cm2</t>
  </si>
  <si>
    <t>98</t>
  </si>
  <si>
    <t>966079991R00</t>
  </si>
  <si>
    <t>Příplatek za každých dalších 5 cm2 průřezu</t>
  </si>
  <si>
    <t>5*10</t>
  </si>
  <si>
    <t>Prorážení otvorů a ostatní bourací práce</t>
  </si>
  <si>
    <t>99</t>
  </si>
  <si>
    <t>970231200R00</t>
  </si>
  <si>
    <t>Řezání cihelného zdiva hl. řezu 200 mm</t>
  </si>
  <si>
    <t>97_</t>
  </si>
  <si>
    <t>2*3,0</t>
  </si>
  <si>
    <t>dilatační spáry</t>
  </si>
  <si>
    <t>100</t>
  </si>
  <si>
    <t>975011351R00</t>
  </si>
  <si>
    <t>Podpěr.dřevení zákl.zdiv do 2m tl.zdi 60 cm do 5 m</t>
  </si>
  <si>
    <t>2,4+5,3+5*2,1+3,4</t>
  </si>
  <si>
    <t>suterenní stěny</t>
  </si>
  <si>
    <t>101</t>
  </si>
  <si>
    <t>978013161R00</t>
  </si>
  <si>
    <t>Otlučení omítek vnitřních stěn v rozsahu do 50 %</t>
  </si>
  <si>
    <t>parapetní zdivo jídelna</t>
  </si>
  <si>
    <t>102</t>
  </si>
  <si>
    <t>978013191R00</t>
  </si>
  <si>
    <t>Otlučení omítek vnitřních stěn v rozsahu do 100 %</t>
  </si>
  <si>
    <t>-1,09*2,38-(1,01+1,08+1,15+2*1,12+1,19)*1,14</t>
  </si>
  <si>
    <t>odpočet otvorů</t>
  </si>
  <si>
    <t>103</t>
  </si>
  <si>
    <t>978013211R00</t>
  </si>
  <si>
    <t>Odstranění štukové vrstvy omítky z vnitřních stěn</t>
  </si>
  <si>
    <t>0,5*16,79</t>
  </si>
  <si>
    <t>H99</t>
  </si>
  <si>
    <t>Ostatní přesuny hmot</t>
  </si>
  <si>
    <t>104</t>
  </si>
  <si>
    <t>999VD</t>
  </si>
  <si>
    <t>Poplatek za čerpadlo betonové směsi</t>
  </si>
  <si>
    <t>hod</t>
  </si>
  <si>
    <t>H99_</t>
  </si>
  <si>
    <t>105</t>
  </si>
  <si>
    <t>999281145R00</t>
  </si>
  <si>
    <t>Přesun hmot pro opravy a údržbu do v. 6 m, nošením</t>
  </si>
  <si>
    <t>M65</t>
  </si>
  <si>
    <t>Elektroinstalace</t>
  </si>
  <si>
    <t>106</t>
  </si>
  <si>
    <t>650010111R00</t>
  </si>
  <si>
    <t>Montáž elektroinstalační lišty šířky do 40 mm</t>
  </si>
  <si>
    <t>M65_</t>
  </si>
  <si>
    <t>odhad</t>
  </si>
  <si>
    <t>107</t>
  </si>
  <si>
    <t>34572109</t>
  </si>
  <si>
    <t>Lišta vkládací z PVC délka 2 m, LV 24 x 22 mm</t>
  </si>
  <si>
    <t>108</t>
  </si>
  <si>
    <t>650012271R00</t>
  </si>
  <si>
    <t>Montáž krabice lištové se zapojením</t>
  </si>
  <si>
    <t>109</t>
  </si>
  <si>
    <t>345714410</t>
  </si>
  <si>
    <t>Krabice v uzavřeném provedení nástěnná GW44204</t>
  </si>
  <si>
    <t>110</t>
  </si>
  <si>
    <t>650012261R00</t>
  </si>
  <si>
    <t>Montáž krabice lištové bez zapojení</t>
  </si>
  <si>
    <t>111</t>
  </si>
  <si>
    <t>34571512</t>
  </si>
  <si>
    <t>Krabice přístrojová na stěnu</t>
  </si>
  <si>
    <t>112</t>
  </si>
  <si>
    <t>650020112R00</t>
  </si>
  <si>
    <t>Vrt + osazení hmoždinky do stěn železobet. HM 8</t>
  </si>
  <si>
    <t>kotvení lišty</t>
  </si>
  <si>
    <t>113</t>
  </si>
  <si>
    <t>650020611R00</t>
  </si>
  <si>
    <t>Montáž příchytky kabelové jednoduché do 25 mm</t>
  </si>
  <si>
    <t>strop</t>
  </si>
  <si>
    <t>114</t>
  </si>
  <si>
    <t>345717210000</t>
  </si>
  <si>
    <t>Příchytka kabelů PVC</t>
  </si>
  <si>
    <t>115</t>
  </si>
  <si>
    <t>650051111R00</t>
  </si>
  <si>
    <t>Montáž spínače nástěnného, řaz. 1</t>
  </si>
  <si>
    <t>116</t>
  </si>
  <si>
    <t>34535540</t>
  </si>
  <si>
    <t>Spínač jednopólový, řazení 1 3553-01289</t>
  </si>
  <si>
    <t>117</t>
  </si>
  <si>
    <t>34536700</t>
  </si>
  <si>
    <t>Rámeček jednonásobný 3901A-B10</t>
  </si>
  <si>
    <t>118</t>
  </si>
  <si>
    <t>650052611R00</t>
  </si>
  <si>
    <t>Montáž zásuvky nástěnné 2P+PE</t>
  </si>
  <si>
    <t>119</t>
  </si>
  <si>
    <t>34551610</t>
  </si>
  <si>
    <t>Zásuvka jednonásobná s ochranným kolíkem 5518A-A2349</t>
  </si>
  <si>
    <t>120</t>
  </si>
  <si>
    <t>121</t>
  </si>
  <si>
    <t>650101521R00</t>
  </si>
  <si>
    <t>Montáž LED svítidla stropního přisazeného</t>
  </si>
  <si>
    <t>122</t>
  </si>
  <si>
    <t>3481410801</t>
  </si>
  <si>
    <t>Svítidlo interiérové stropní LED, IP40</t>
  </si>
  <si>
    <t>123</t>
  </si>
  <si>
    <t>650124641R00</t>
  </si>
  <si>
    <t>Uložení kabelu Cu 3 x 1,5 mm2 pod omítku</t>
  </si>
  <si>
    <t>124</t>
  </si>
  <si>
    <t>34111030</t>
  </si>
  <si>
    <t>Kabel silový s Cu jádrem 750 V CYKY 3 x 1,5 mm2</t>
  </si>
  <si>
    <t>125</t>
  </si>
  <si>
    <t>650125643R00</t>
  </si>
  <si>
    <t>Uložení kabelu Cu 3 x 2,5 mm2 do lišt</t>
  </si>
  <si>
    <t>126</t>
  </si>
  <si>
    <t>34111036</t>
  </si>
  <si>
    <t>Kabel silový s Cu jádrem 750 V CYKY 3 x 2,5 mm2</t>
  </si>
  <si>
    <t>127</t>
  </si>
  <si>
    <t>650141211R00</t>
  </si>
  <si>
    <t>Ukončení vodiče v krabici + zapojení do 2,5 mm2</t>
  </si>
  <si>
    <t>128</t>
  </si>
  <si>
    <t>650801113R00</t>
  </si>
  <si>
    <t>Demontáž svítidla stropního přisazeného</t>
  </si>
  <si>
    <t>S</t>
  </si>
  <si>
    <t>Přesuny sutí</t>
  </si>
  <si>
    <t>129</t>
  </si>
  <si>
    <t>979011221R00</t>
  </si>
  <si>
    <t>Svislá doprava suti a vybour. hmot za 1.PP nošením</t>
  </si>
  <si>
    <t>S_</t>
  </si>
  <si>
    <t>130</t>
  </si>
  <si>
    <t>979081111R00</t>
  </si>
  <si>
    <t>Odvoz suti a vybour. hmot na skládku do 1 km</t>
  </si>
  <si>
    <t>131</t>
  </si>
  <si>
    <t>979081121R00</t>
  </si>
  <si>
    <t>Příplatek k odvozu za každý další 1 km</t>
  </si>
  <si>
    <t>9*54,6</t>
  </si>
  <si>
    <t>132</t>
  </si>
  <si>
    <t>979082111R00</t>
  </si>
  <si>
    <t>Vnitrostaveništní doprava suti do 10 m</t>
  </si>
  <si>
    <t>133</t>
  </si>
  <si>
    <t>979082121R00</t>
  </si>
  <si>
    <t>Příplatek k vnitrost. dopravě suti za dalších 5 m</t>
  </si>
  <si>
    <t>3*54,6</t>
  </si>
  <si>
    <t>134</t>
  </si>
  <si>
    <t>979951111R00</t>
  </si>
  <si>
    <t>Výkup kovů - železný šrot tl. do 4 mm</t>
  </si>
  <si>
    <t>135</t>
  </si>
  <si>
    <t>979990107R00</t>
  </si>
  <si>
    <t>Poplatek za uložení suti - směs betonu, cihel, dřeva, skupina odpadu 170904</t>
  </si>
  <si>
    <t>136</t>
  </si>
  <si>
    <t>979990121R00</t>
  </si>
  <si>
    <t>Poplatek za uložení suti - asfaltové pásy, skupina odpadu 170302</t>
  </si>
  <si>
    <t>137</t>
  </si>
  <si>
    <t>979990181R00</t>
  </si>
  <si>
    <t>Poplatek za uložení suti - PVC podlahová krytina, skupina odpadu 200307</t>
  </si>
  <si>
    <t>138</t>
  </si>
  <si>
    <t>979999973R00</t>
  </si>
  <si>
    <t>Poplatek za uložení, zemina a kamení, (skup.170504) (A kvalita)</t>
  </si>
  <si>
    <t>36,4*0,2*1,8</t>
  </si>
  <si>
    <t>VORN</t>
  </si>
  <si>
    <t>Vedlejší a ostatní rozpočtové náklady</t>
  </si>
  <si>
    <t>03VRN</t>
  </si>
  <si>
    <t>Zařízení staveniště</t>
  </si>
  <si>
    <t>139</t>
  </si>
  <si>
    <t>030001VRN</t>
  </si>
  <si>
    <t>Zařízení staveniště - skladová buňka</t>
  </si>
  <si>
    <t>měsíc</t>
  </si>
  <si>
    <t>03VRN_</t>
  </si>
  <si>
    <t>140</t>
  </si>
  <si>
    <t>032002VRN</t>
  </si>
  <si>
    <t>Vybavení staveniště - mobilní WC</t>
  </si>
  <si>
    <t>141</t>
  </si>
  <si>
    <t>034002VRN</t>
  </si>
  <si>
    <t>Zabezpečení staveniště - oplocení montáž, pronájem, demontáž</t>
  </si>
  <si>
    <t>provizorní oplocení</t>
  </si>
  <si>
    <t>07VRN</t>
  </si>
  <si>
    <t>Provozní vlivy</t>
  </si>
  <si>
    <t>142</t>
  </si>
  <si>
    <t>072002VRN</t>
  </si>
  <si>
    <t>Silniční provoz - DIO, DIR a dopravní značení</t>
  </si>
  <si>
    <t>Soubor</t>
  </si>
  <si>
    <t>07VRN_</t>
  </si>
  <si>
    <t>Vypracování DIO, čištění komunikací</t>
  </si>
  <si>
    <t>143</t>
  </si>
  <si>
    <t>079002VRN</t>
  </si>
  <si>
    <t>Ostatní provozní vlivy</t>
  </si>
  <si>
    <t>uvedení zpevněných a travnatých ploch do původního stavu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</si>
  <si>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</si>
  <si>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</si>
  <si>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</si>
  <si>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</si>
  <si>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</si>
  <si>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</si>
  <si>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</si>
  <si>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</si>
  <si>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</si>
  <si>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</si>
  <si>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</si>
  <si>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</si>
  <si>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</si>
  <si>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</si>
  <si>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</si>
  <si>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</si>
  <si>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</si>
  <si>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</si>
  <si>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</si>
  <si>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</si>
  <si>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</si>
  <si>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</si>
  <si>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</si>
  <si>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</si>
  <si>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</si>
  <si>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</si>
  <si>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</si>
  <si>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</si>
  <si>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</si>
  <si>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</si>
  <si>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</si>
  <si>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</si>
  <si>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</si>
  <si>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</si>
  <si>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</si>
  <si>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</si>
  <si>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</si>
  <si>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</si>
  <si>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</si>
  <si>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</si>
  <si>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</si>
  <si>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</si>
  <si>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</si>
  <si>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</si>
  <si>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</si>
  <si>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</si>
  <si>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</si>
  <si>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</si>
  <si>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</si>
  <si>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</si>
  <si>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</si>
  <si>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</si>
  <si>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</si>
  <si>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</si>
  <si>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</si>
  <si>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</si>
  <si>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</si>
  <si>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</si>
  <si>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</si>
  <si>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</si>
  <si>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</si>
  <si>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</si>
  <si>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Stavba:</t>
  </si>
  <si>
    <t>Stavební úpravy jídelny MŠ Na Kopečku, Bohosudovská 111, 415 01 Teplice</t>
  </si>
  <si>
    <t>Investor:</t>
  </si>
  <si>
    <t>Statutární město Teplice, Náměstí Svobody 2/2, 415 01 Teplice</t>
  </si>
  <si>
    <t>Část:</t>
  </si>
  <si>
    <t>D.1.2.4.1 Zařízení pro vytápění</t>
  </si>
  <si>
    <t>č.z.</t>
  </si>
  <si>
    <t>2025-61</t>
  </si>
  <si>
    <t>Hodnota DPH</t>
  </si>
  <si>
    <t>TYP</t>
  </si>
  <si>
    <t>Zařazení</t>
  </si>
  <si>
    <t>KCN</t>
  </si>
  <si>
    <t>Kód položky</t>
  </si>
  <si>
    <t>Název</t>
  </si>
  <si>
    <t>jednotková cena</t>
  </si>
  <si>
    <t>Cena celkem</t>
  </si>
  <si>
    <t>J. hmotnost</t>
  </si>
  <si>
    <t>J. suť</t>
  </si>
  <si>
    <t>Poznámka</t>
  </si>
  <si>
    <t>D</t>
  </si>
  <si>
    <t>OST</t>
  </si>
  <si>
    <t>N.C.RE.PSZ</t>
  </si>
  <si>
    <t>Montážní a demontážní práce, doprava</t>
  </si>
  <si>
    <t>K</t>
  </si>
  <si>
    <t>R</t>
  </si>
  <si>
    <t>444-001</t>
  </si>
  <si>
    <t>Montážní práce zařízení pro vytápění</t>
  </si>
  <si>
    <t>444-002</t>
  </si>
  <si>
    <t>Doprava zařízení pro vytápění na místo stavby</t>
  </si>
  <si>
    <t>444-003</t>
  </si>
  <si>
    <t>Demontáž stávajících článkových topných těles včetně termostatických ventilů, termoregulačních hlavic a potrubních přípojek k těmto tělesům, dále pak demontáž páteřních potrubních rozvodů vedených v 1.NP objektu a vyvažovacích ventilů - viz výkresová dokumentace</t>
  </si>
  <si>
    <t>kg</t>
  </si>
  <si>
    <t>444-004</t>
  </si>
  <si>
    <t>Provedení repase a vyčištění stávajících vyvažovacích armatur STAD a připojovacího šroubení</t>
  </si>
  <si>
    <t>444-005</t>
  </si>
  <si>
    <t>Zpětná montáž stávajících vyvažovacích armatur STAD na novou pozici</t>
  </si>
  <si>
    <t>N.C.RE.RRE</t>
  </si>
  <si>
    <t>Kontrolní činnost (revize a zkoušky)</t>
  </si>
  <si>
    <t>555-001</t>
  </si>
  <si>
    <t>Zkoušky, uvedení do provozu a vyregulování</t>
  </si>
  <si>
    <t>555-002</t>
  </si>
  <si>
    <t>Zajištění chodu zařízení ve zkušebním provozu</t>
  </si>
  <si>
    <t>555-003</t>
  </si>
  <si>
    <t>Vypuštění a opětovné napuštění topné soustavy včetně jejího odvzdušnění v rekonstruované části topného systému</t>
  </si>
  <si>
    <t>555-004</t>
  </si>
  <si>
    <t>Hydraulické vyregulování topného systému</t>
  </si>
  <si>
    <t>555-005</t>
  </si>
  <si>
    <t>Dokumentace skutečného provedení</t>
  </si>
  <si>
    <t>N.C.RE.SP</t>
  </si>
  <si>
    <t>Stavební přípomoce</t>
  </si>
  <si>
    <t>333-001</t>
  </si>
  <si>
    <t>Stavební přípomoce - spolupráce se stavbou na vyznačení míst, kde budou provedeny stavební otvory pro vedení potrubních rozvodů</t>
  </si>
  <si>
    <t>333-002</t>
  </si>
  <si>
    <t>Lešení pomocné jednořadové lehké s podlahami do výšky 2,0 m pro demontáž a montáž potrubních rozvodů potrubí topné vody</t>
  </si>
  <si>
    <r>
      <t>m</t>
    </r>
    <r>
      <rPr>
        <vertAlign val="superscript"/>
        <sz val="10"/>
        <rFont val="Arial CE"/>
        <charset val="238"/>
      </rPr>
      <t>2</t>
    </r>
  </si>
  <si>
    <t>Montáže celkem</t>
  </si>
  <si>
    <t>N.V.ND.ARM</t>
  </si>
  <si>
    <t>Kotle, zásobníky, čerpadla, armatury, topný tělesa</t>
  </si>
  <si>
    <t>MD</t>
  </si>
  <si>
    <t>777-001</t>
  </si>
  <si>
    <t>Otopné těleso připojení klasik typ 33-500/1200</t>
  </si>
  <si>
    <t>777-002</t>
  </si>
  <si>
    <t>Otopné těleso připojení klasik typ 33-500/2000</t>
  </si>
  <si>
    <t>777-003</t>
  </si>
  <si>
    <t>Radiátorový termostatický ventil přímý, 1/2“</t>
  </si>
  <si>
    <t>777-004</t>
  </si>
  <si>
    <t>Uzavíratelné radiátorové šroubení přímé 1/2“</t>
  </si>
  <si>
    <t>777-005</t>
  </si>
  <si>
    <t>Termostatická hlavice standardní typ K s vestavěným teplotním čidlem</t>
  </si>
  <si>
    <t>777-006</t>
  </si>
  <si>
    <t>Kulový kohout ruční závitový 5/4“</t>
  </si>
  <si>
    <t>777-007</t>
  </si>
  <si>
    <t>Kulový kohout ruční závitový 1“</t>
  </si>
  <si>
    <t>777-008</t>
  </si>
  <si>
    <t>Vypouštěcí kohout ruční závitový 1/2“</t>
  </si>
  <si>
    <t>Potrubní díly + ostatní materiál</t>
  </si>
  <si>
    <t>111-001</t>
  </si>
  <si>
    <t>Potrubí DN 40, ocelové hladké, ČSN 42 57 15, materiál tř. 11</t>
  </si>
  <si>
    <t>111-002</t>
  </si>
  <si>
    <t>Potrubí DN 32, ocelové hladké, ČSN 42 57 15, materiál tř. 11</t>
  </si>
  <si>
    <t>111-003</t>
  </si>
  <si>
    <t>Potrubí DN 25, ocelové hladké, ČSN 42 57 15, materiál tř. 11</t>
  </si>
  <si>
    <t>111-004</t>
  </si>
  <si>
    <t>Potrubí DN 15, ocelové hladké, ČSN 42 57 15, materiál tř. 11</t>
  </si>
  <si>
    <t>111-005</t>
  </si>
  <si>
    <t>Tepelná izolace na potrubí DN 40, tl. izolace 30 mm - minerální vlna + Al polep</t>
  </si>
  <si>
    <t>111-006</t>
  </si>
  <si>
    <t>Tepelná izolace na potrubí DN 32, tl. izolace 25 mm - minerální vlna + Al polep</t>
  </si>
  <si>
    <t>111-007</t>
  </si>
  <si>
    <t>Tepelná izolace na potrubí DN 25, tl. izolace 25 mm - minerální vlna + Al polep</t>
  </si>
  <si>
    <t>111-008</t>
  </si>
  <si>
    <t>Ocelová - kolena, redukce, T-kusy a další tvarovky příslušných dimenzí - přesný počet bude stanoven při montáži, odborný odhad tvarovek cca 40% z přímých kusů</t>
  </si>
  <si>
    <t>kpl</t>
  </si>
  <si>
    <t>111-009</t>
  </si>
  <si>
    <t>Nátěr – základní ocelového potrubí z trubek středotlakých a ocelových profilů, popis viz technická zpráva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</si>
  <si>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</si>
  <si>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111-010</t>
  </si>
  <si>
    <t>Pomocný ocelový materiál pro uchycení potrubí – konzole, třmeny, objímky, nastřelovací šrouby, matice, hmoždinky, ostatní spojovací materiál atd. - přesný počet bude stanoven na stavbě při montáži</t>
  </si>
  <si>
    <t>111-011</t>
  </si>
  <si>
    <t>Popisné štítky na zařízení včetně šipek proudění</t>
  </si>
  <si>
    <t>Materiál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</si>
</sst>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###\ ###\ ###\ ##0.00"/>
  </numFmts>
  <fonts count="2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sz val="10"/>
      <name val="Arial CE"/>
      <charset val="238"/>
    </font>
    <font>
      <b/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name val="Arial CE"/>
      <charset val="238"/>
    </font>
    <font>
      <vertAlign val="superscript"/>
      <sz val="10"/>
      <name val="Arial CE"/>
      <charset val="238"/>
    </font>
    <font>
      <b/>
      <sz val="10"/>
      <color indexed="10"/>
      <name val="Arial CE"/>
      <family val="2"/>
      <charset val="238"/>
    </font>
    <font>
      <vertAlign val="superscript"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indexed="43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hair">
        <color indexed="64"/>
      </right>
      <top style="hair">
        <color indexed="64"/>
      </top>
      <bottom style="hair">
        <color indexed="9"/>
      </bottom>
      <diagonal/>
    </border>
    <border>
      <left/>
      <right/>
      <top style="hair">
        <color indexed="64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66"/>
  </cellStyleXfs>
  <cellXfs count="187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0" fillId="0" borderId="6" xfId="0" applyBorder="1"/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31" xfId="0" applyBorder="1"/>
    <xf numFmtId="0" fontId="0" fillId="0" borderId="32" xfId="0" applyBorder="1"/>
    <xf numFmtId="0" fontId="4" fillId="0" borderId="32" xfId="0" applyFont="1" applyBorder="1" applyAlignment="1">
      <alignment horizontal="left" vertical="center"/>
    </xf>
    <xf numFmtId="4" fontId="4" fillId="0" borderId="32" xfId="0" applyNumberFormat="1" applyFont="1" applyBorder="1" applyAlignment="1">
      <alignment horizontal="right" vertical="center"/>
    </xf>
    <xf numFmtId="0" fontId="0" fillId="0" borderId="33" xfId="0" applyBorder="1"/>
    <xf numFmtId="4" fontId="2" fillId="0" borderId="3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4" fontId="10" fillId="0" borderId="41" xfId="0" applyNumberFormat="1" applyFont="1" applyBorder="1" applyAlignment="1">
      <alignment horizontal="right" vertical="center"/>
    </xf>
    <xf numFmtId="0" fontId="10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4" fontId="10" fillId="0" borderId="48" xfId="0" applyNumberFormat="1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4" fontId="10" fillId="0" borderId="39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9" fillId="2" borderId="38" xfId="0" applyNumberFormat="1" applyFont="1" applyFill="1" applyBorder="1" applyAlignment="1">
      <alignment horizontal="right" vertical="center"/>
    </xf>
    <xf numFmtId="4" fontId="9" fillId="2" borderId="43" xfId="0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4" fontId="3" fillId="0" borderId="4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left" vertical="center"/>
    </xf>
    <xf numFmtId="4" fontId="3" fillId="0" borderId="68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2" xfId="0" applyFont="1" applyBorder="1" applyAlignment="1">
      <alignment horizontal="right" vertical="center"/>
    </xf>
    <xf numFmtId="4" fontId="2" fillId="0" borderId="72" xfId="0" applyNumberFormat="1" applyFont="1" applyBorder="1" applyAlignment="1">
      <alignment horizontal="right" vertical="center"/>
    </xf>
    <xf numFmtId="0" fontId="12" fillId="0" borderId="66" xfId="1" applyFont="1" applyAlignment="1">
      <alignment vertical="center"/>
    </xf>
    <xf numFmtId="0" fontId="13" fillId="0" borderId="66" xfId="1" applyFont="1" applyAlignment="1">
      <alignment vertical="center"/>
    </xf>
    <xf numFmtId="0" fontId="11" fillId="0" borderId="66" xfId="1" applyAlignment="1">
      <alignment vertical="center"/>
    </xf>
    <xf numFmtId="4" fontId="11" fillId="0" borderId="66" xfId="1" applyNumberFormat="1" applyAlignment="1">
      <alignment vertical="center"/>
    </xf>
    <xf numFmtId="0" fontId="11" fillId="0" borderId="66" xfId="1"/>
    <xf numFmtId="3" fontId="13" fillId="0" borderId="66" xfId="1" applyNumberFormat="1" applyFont="1" applyAlignment="1">
      <alignment horizontal="left" vertical="center"/>
    </xf>
    <xf numFmtId="0" fontId="14" fillId="3" borderId="74" xfId="1" applyFont="1" applyFill="1" applyBorder="1" applyAlignment="1">
      <alignment horizontal="centerContinuous" vertical="center"/>
    </xf>
    <xf numFmtId="0" fontId="15" fillId="3" borderId="75" xfId="1" applyFont="1" applyFill="1" applyBorder="1" applyAlignment="1">
      <alignment horizontal="centerContinuous" vertical="center"/>
    </xf>
    <xf numFmtId="0" fontId="14" fillId="3" borderId="76" xfId="1" applyFont="1" applyFill="1" applyBorder="1" applyAlignment="1">
      <alignment horizontal="centerContinuous" vertical="center"/>
    </xf>
    <xf numFmtId="0" fontId="16" fillId="3" borderId="75" xfId="1" applyFont="1" applyFill="1" applyBorder="1" applyAlignment="1">
      <alignment horizontal="centerContinuous" vertical="center"/>
    </xf>
    <xf numFmtId="49" fontId="17" fillId="4" borderId="77" xfId="1" applyNumberFormat="1" applyFont="1" applyFill="1" applyBorder="1" applyAlignment="1">
      <alignment horizontal="center" vertical="center"/>
    </xf>
    <xf numFmtId="164" fontId="17" fillId="4" borderId="77" xfId="1" applyNumberFormat="1" applyFont="1" applyFill="1" applyBorder="1" applyAlignment="1">
      <alignment horizontal="center" vertical="center"/>
    </xf>
    <xf numFmtId="9" fontId="17" fillId="4" borderId="78" xfId="1" applyNumberFormat="1" applyFont="1" applyFill="1" applyBorder="1" applyAlignment="1">
      <alignment horizontal="center" vertical="center"/>
    </xf>
    <xf numFmtId="4" fontId="18" fillId="4" borderId="77" xfId="1" applyNumberFormat="1" applyFont="1" applyFill="1" applyBorder="1" applyAlignment="1">
      <alignment horizontal="center" vertical="center"/>
    </xf>
    <xf numFmtId="165" fontId="17" fillId="4" borderId="77" xfId="1" applyNumberFormat="1" applyFont="1" applyFill="1" applyBorder="1" applyAlignment="1">
      <alignment horizontal="center" vertical="center"/>
    </xf>
    <xf numFmtId="49" fontId="11" fillId="5" borderId="79" xfId="1" applyNumberFormat="1" applyFill="1" applyBorder="1" applyAlignment="1">
      <alignment horizontal="center" vertical="center"/>
    </xf>
    <xf numFmtId="49" fontId="11" fillId="5" borderId="79" xfId="1" applyNumberFormat="1" applyFill="1" applyBorder="1" applyAlignment="1">
      <alignment vertical="center"/>
    </xf>
    <xf numFmtId="49" fontId="15" fillId="5" borderId="79" xfId="1" applyNumberFormat="1" applyFont="1" applyFill="1" applyBorder="1" applyAlignment="1">
      <alignment vertical="center"/>
    </xf>
    <xf numFmtId="164" fontId="11" fillId="5" borderId="79" xfId="1" applyNumberFormat="1" applyFill="1" applyBorder="1" applyAlignment="1">
      <alignment vertical="center"/>
    </xf>
    <xf numFmtId="4" fontId="11" fillId="5" borderId="79" xfId="1" applyNumberFormat="1" applyFill="1" applyBorder="1" applyAlignment="1">
      <alignment vertical="center"/>
    </xf>
    <xf numFmtId="4" fontId="19" fillId="5" borderId="79" xfId="1" applyNumberFormat="1" applyFont="1" applyFill="1" applyBorder="1" applyAlignment="1">
      <alignment vertical="center"/>
    </xf>
    <xf numFmtId="165" fontId="11" fillId="5" borderId="79" xfId="1" applyNumberFormat="1" applyFill="1" applyBorder="1" applyAlignment="1">
      <alignment vertical="center"/>
    </xf>
    <xf numFmtId="49" fontId="11" fillId="0" borderId="79" xfId="1" applyNumberFormat="1" applyBorder="1" applyAlignment="1">
      <alignment horizontal="center" vertical="center"/>
    </xf>
    <xf numFmtId="49" fontId="11" fillId="0" borderId="79" xfId="1" applyNumberFormat="1" applyBorder="1" applyAlignment="1">
      <alignment vertical="center"/>
    </xf>
    <xf numFmtId="164" fontId="11" fillId="0" borderId="79" xfId="1" applyNumberFormat="1" applyBorder="1" applyAlignment="1">
      <alignment vertical="center"/>
    </xf>
    <xf numFmtId="4" fontId="11" fillId="6" borderId="79" xfId="1" applyNumberFormat="1" applyFill="1" applyBorder="1" applyAlignment="1" applyProtection="1">
      <alignment vertical="center"/>
      <protection locked="0"/>
    </xf>
    <xf numFmtId="4" fontId="19" fillId="0" borderId="79" xfId="1" applyNumberFormat="1" applyFont="1" applyBorder="1" applyAlignment="1">
      <alignment vertical="center"/>
    </xf>
    <xf numFmtId="4" fontId="11" fillId="0" borderId="79" xfId="1" applyNumberFormat="1" applyBorder="1" applyAlignment="1">
      <alignment vertical="center"/>
    </xf>
    <xf numFmtId="49" fontId="11" fillId="6" borderId="79" xfId="1" applyNumberFormat="1" applyFill="1" applyBorder="1" applyAlignment="1" applyProtection="1">
      <alignment vertical="center"/>
      <protection locked="0"/>
    </xf>
    <xf numFmtId="49" fontId="11" fillId="0" borderId="79" xfId="1" applyNumberFormat="1" applyBorder="1" applyAlignment="1">
      <alignment vertical="center" wrapText="1"/>
    </xf>
    <xf numFmtId="49" fontId="13" fillId="0" borderId="79" xfId="1" applyNumberFormat="1" applyFont="1" applyBorder="1" applyAlignment="1">
      <alignment vertical="center" wrapText="1"/>
    </xf>
    <xf numFmtId="49" fontId="13" fillId="0" borderId="79" xfId="1" applyNumberFormat="1" applyFont="1" applyBorder="1" applyAlignment="1">
      <alignment vertical="center"/>
    </xf>
    <xf numFmtId="49" fontId="20" fillId="5" borderId="79" xfId="1" applyNumberFormat="1" applyFont="1" applyFill="1" applyBorder="1" applyAlignment="1">
      <alignment vertical="center"/>
    </xf>
    <xf numFmtId="0" fontId="22" fillId="0" borderId="66" xfId="1" applyFont="1"/>
    <xf numFmtId="9" fontId="22" fillId="0" borderId="66" xfId="1" applyNumberFormat="1" applyFont="1"/>
    <xf numFmtId="166" fontId="22" fillId="0" borderId="66" xfId="1" applyNumberFormat="1" applyFont="1"/>
    <xf numFmtId="4" fontId="11" fillId="0" borderId="66" xfId="1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4" fontId="9" fillId="0" borderId="73" xfId="0" applyNumberFormat="1" applyFont="1" applyBorder="1" applyAlignment="1">
      <alignment horizontal="right" vertical="center"/>
    </xf>
    <xf numFmtId="0" fontId="9" fillId="0" borderId="70" xfId="0" applyFont="1" applyBorder="1" applyAlignment="1">
      <alignment horizontal="right" vertical="center"/>
    </xf>
    <xf numFmtId="0" fontId="9" fillId="0" borderId="71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</cellXfs>
  <cellStyles count="2">
    <cellStyle name="Normální" xfId="0" builtinId="0"/>
    <cellStyle name="Normální 2" xfId="1" xr:uid="{48CF28AC-6101-43F0-BA36-B5C9FAEA6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&#237;k\AppData\Local\Microsoft\Windows\INetCache\Content.Outlook\GN6495E2\rozpo&#269;et%20M&#352;%20Na%20kope&#269;ku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\Soukrom&#283;%2024.4.2014\2013\2013-15%20-%20ZZS%20&#218;K%20gar&#225;&#382;e%20D&#367;lce,%20&#218;st&#237;%20nad%20Labem\&#218;T\&#218;T_ROZ_rev0_T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\2019\2019-42%20-%20HZS%20Most\VZ\D%201.1.4.1%20Za&#345;&#237;zen&#237;%20pro%20vyt&#225;p&#283;n&#237;%20staveb\D%201.1.4.1_ROZ_&#218;V_r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\2022\2022-03%20-%20RTR%20&#218;st&#237;%20nad%20Labem\ROZ_&#218;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99211\300\Dokumenty\Stavebn&#237;\ROZ_&#218;V_Budova%20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\Archiv%20zakazek\A99\A99148\200\Dokumenty\Stavebn&#237;\TZ%2001,%20IO%2003\Rozpo&#269;et_TZ%2001_VS_RD_2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&#237;k\Documents\Akce\2024\Tce%20M&#352;%20Na%20Kope&#269;ku%202024\DPS\Topen&#237;\ROZ_&#218;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\2016\2016-36%20-%20RD%20Zv&#225;novice\VV_&#218;V_r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\2021\2017-35%20-%20Baz&#233;n%20Delf&#237;nek,%20&#218;st&#237;%20nad%20Labem\&#218;T\ROZ_&#218;T_r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\2022-67%20-%20Reko%20M&#352;%20J&#237;lov&#233;\&#218;T\ROZ_&#218;T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2.04.2021\2021\2021-01%20-%20NEMCV,%20Pracovi&#353;t&#283;%20PET_CT\RD\&#218;T\ROZ_&#218;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9\2019-49%20-%20DD%20Velk&#233;%20Hamry,%202.etapa_RD\SO%2001%20-%20Stavebn&#237;%20&#250;pravy%20st&#225;vaj&#237;c&#237;ho%20objektu\&#218;T\SO%2001_ROZ_&#218;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\2025\2025-49%20-%20&#218;&#353;t&#283;k%20ON\&#218;T\ROZ_&#218;T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2.10.2018\2017\2017-69%20-%20Are&#225;l%20OTV,%20S&#381;DC,%20St&#345;ekov\DWG,%20DOC,%20XLS\D.1.4.1_Budova%20OTV_vyt&#225;p&#283;n&#237;\D.1.4.1_SM_&#218;V_r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rozpočtu"/>
      <sheetName val="VORN"/>
      <sheetName val="Stavební rozpočet"/>
      <sheetName val="topení"/>
    </sheetNames>
    <sheetDataSet>
      <sheetData sheetId="0" refreshError="1"/>
      <sheetData sheetId="1">
        <row r="45">
          <cell r="I45">
            <v>83500</v>
          </cell>
        </row>
      </sheetData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  <sheetName val="3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  <sheetName val="3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estaurace"/>
      <sheetName val="Dopravní kancelář"/>
      <sheetName val="Společné prostory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1"/>
      <sheetName val="2"/>
    </sheetNames>
    <sheetDataSet>
      <sheetData sheetId="0" refreshError="1">
        <row r="4">
          <cell r="G4">
            <v>0.15</v>
          </cell>
          <cell r="H4">
            <v>0.21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01" t="s">
        <v>685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3" t="s">
        <v>1</v>
      </c>
      <c r="B2" s="104"/>
      <c r="C2" s="113" t="str">
        <f>'Stavební rozpočet'!C2</f>
        <v>Stavební úpravy jídelny MŠ Na Kopečku</v>
      </c>
      <c r="D2" s="114"/>
      <c r="E2" s="108" t="s">
        <v>5</v>
      </c>
      <c r="F2" s="108" t="str">
        <f>'Stavební rozpočet'!I2</f>
        <v> </v>
      </c>
      <c r="G2" s="104"/>
      <c r="H2" s="108" t="s">
        <v>686</v>
      </c>
      <c r="I2" s="110" t="s">
        <v>48</v>
      </c>
    </row>
    <row r="3" spans="1:9" ht="15" customHeight="1" x14ac:dyDescent="0.25">
      <c r="A3" s="105"/>
      <c r="B3" s="106"/>
      <c r="C3" s="115"/>
      <c r="D3" s="115"/>
      <c r="E3" s="106"/>
      <c r="F3" s="106"/>
      <c r="G3" s="106"/>
      <c r="H3" s="106"/>
      <c r="I3" s="111"/>
    </row>
    <row r="4" spans="1:9" x14ac:dyDescent="0.25">
      <c r="A4" s="107" t="s">
        <v>7</v>
      </c>
      <c r="B4" s="106"/>
      <c r="C4" s="109" t="str">
        <f>'Stavební rozpočet'!C4</f>
        <v xml:space="preserve"> </v>
      </c>
      <c r="D4" s="106"/>
      <c r="E4" s="109" t="s">
        <v>10</v>
      </c>
      <c r="F4" s="109" t="str">
        <f>'Stavební rozpočet'!I4</f>
        <v> </v>
      </c>
      <c r="G4" s="106"/>
      <c r="H4" s="109" t="s">
        <v>686</v>
      </c>
      <c r="I4" s="111" t="s">
        <v>48</v>
      </c>
    </row>
    <row r="5" spans="1:9" ht="15" customHeight="1" x14ac:dyDescent="0.25">
      <c r="A5" s="105"/>
      <c r="B5" s="106"/>
      <c r="C5" s="106"/>
      <c r="D5" s="106"/>
      <c r="E5" s="106"/>
      <c r="F5" s="106"/>
      <c r="G5" s="106"/>
      <c r="H5" s="106"/>
      <c r="I5" s="111"/>
    </row>
    <row r="6" spans="1:9" x14ac:dyDescent="0.25">
      <c r="A6" s="107" t="s">
        <v>11</v>
      </c>
      <c r="B6" s="106"/>
      <c r="C6" s="109" t="str">
        <f>'Stavební rozpočet'!C6</f>
        <v xml:space="preserve"> </v>
      </c>
      <c r="D6" s="106"/>
      <c r="E6" s="109" t="s">
        <v>13</v>
      </c>
      <c r="F6" s="109" t="str">
        <f>'Stavební rozpočet'!I6</f>
        <v> </v>
      </c>
      <c r="G6" s="106"/>
      <c r="H6" s="109" t="s">
        <v>686</v>
      </c>
      <c r="I6" s="111" t="s">
        <v>48</v>
      </c>
    </row>
    <row r="7" spans="1:9" ht="15" customHeight="1" x14ac:dyDescent="0.25">
      <c r="A7" s="105"/>
      <c r="B7" s="106"/>
      <c r="C7" s="106"/>
      <c r="D7" s="106"/>
      <c r="E7" s="106"/>
      <c r="F7" s="106"/>
      <c r="G7" s="106"/>
      <c r="H7" s="106"/>
      <c r="I7" s="111"/>
    </row>
    <row r="8" spans="1:9" x14ac:dyDescent="0.25">
      <c r="A8" s="107" t="s">
        <v>8</v>
      </c>
      <c r="B8" s="106"/>
      <c r="C8" s="109" t="str">
        <f>'Stavební rozpočet'!G4</f>
        <v>05.02.2026</v>
      </c>
      <c r="D8" s="106"/>
      <c r="E8" s="109" t="s">
        <v>12</v>
      </c>
      <c r="F8" s="109" t="str">
        <f>'Stavební rozpočet'!G6</f>
        <v xml:space="preserve"> </v>
      </c>
      <c r="G8" s="106"/>
      <c r="H8" s="106" t="s">
        <v>687</v>
      </c>
      <c r="I8" s="112">
        <v>143</v>
      </c>
    </row>
    <row r="9" spans="1:9" x14ac:dyDescent="0.25">
      <c r="A9" s="105"/>
      <c r="B9" s="106"/>
      <c r="C9" s="106"/>
      <c r="D9" s="106"/>
      <c r="E9" s="106"/>
      <c r="F9" s="106"/>
      <c r="G9" s="106"/>
      <c r="H9" s="106"/>
      <c r="I9" s="111"/>
    </row>
    <row r="10" spans="1:9" x14ac:dyDescent="0.25">
      <c r="A10" s="107" t="s">
        <v>14</v>
      </c>
      <c r="B10" s="106"/>
      <c r="C10" s="109" t="str">
        <f>'Stavební rozpočet'!C8</f>
        <v>8013113</v>
      </c>
      <c r="D10" s="106"/>
      <c r="E10" s="109" t="s">
        <v>17</v>
      </c>
      <c r="F10" s="109" t="str">
        <f>'Stavební rozpočet'!I8</f>
        <v>Ing. Holík</v>
      </c>
      <c r="G10" s="106"/>
      <c r="H10" s="106" t="s">
        <v>688</v>
      </c>
      <c r="I10" s="117" t="str">
        <f>'Stavební rozpočet'!G8</f>
        <v>05.02.2026</v>
      </c>
    </row>
    <row r="11" spans="1:9" x14ac:dyDescent="0.25">
      <c r="A11" s="122"/>
      <c r="B11" s="116"/>
      <c r="C11" s="116"/>
      <c r="D11" s="116"/>
      <c r="E11" s="116"/>
      <c r="F11" s="116"/>
      <c r="G11" s="116"/>
      <c r="H11" s="116"/>
      <c r="I11" s="118"/>
    </row>
    <row r="12" spans="1:9" ht="23.25" x14ac:dyDescent="0.25">
      <c r="A12" s="119" t="s">
        <v>689</v>
      </c>
      <c r="B12" s="119"/>
      <c r="C12" s="119"/>
      <c r="D12" s="119"/>
      <c r="E12" s="119"/>
      <c r="F12" s="119"/>
      <c r="G12" s="119"/>
      <c r="H12" s="119"/>
      <c r="I12" s="119"/>
    </row>
    <row r="13" spans="1:9" ht="26.25" customHeight="1" x14ac:dyDescent="0.25">
      <c r="A13" s="42" t="s">
        <v>690</v>
      </c>
      <c r="B13" s="120" t="s">
        <v>691</v>
      </c>
      <c r="C13" s="121"/>
      <c r="D13" s="43" t="s">
        <v>692</v>
      </c>
      <c r="E13" s="120" t="s">
        <v>693</v>
      </c>
      <c r="F13" s="121"/>
      <c r="G13" s="43" t="s">
        <v>694</v>
      </c>
      <c r="H13" s="120" t="s">
        <v>695</v>
      </c>
      <c r="I13" s="121"/>
    </row>
    <row r="14" spans="1:9" ht="15.75" x14ac:dyDescent="0.25">
      <c r="A14" s="44" t="s">
        <v>696</v>
      </c>
      <c r="B14" s="45" t="s">
        <v>697</v>
      </c>
      <c r="C14" s="46">
        <f>SUM('Stavební rozpočet'!AB12:AB588)</f>
        <v>0</v>
      </c>
      <c r="D14" s="129" t="s">
        <v>698</v>
      </c>
      <c r="E14" s="130"/>
      <c r="F14" s="46">
        <f>VORN!I15</f>
        <v>0</v>
      </c>
      <c r="G14" s="129" t="s">
        <v>658</v>
      </c>
      <c r="H14" s="130"/>
      <c r="I14" s="47">
        <f>VORN!I21</f>
        <v>0</v>
      </c>
    </row>
    <row r="15" spans="1:9" ht="15.75" x14ac:dyDescent="0.25">
      <c r="A15" s="48" t="s">
        <v>48</v>
      </c>
      <c r="B15" s="45" t="s">
        <v>33</v>
      </c>
      <c r="C15" s="46">
        <f>SUM('Stavební rozpočet'!AC12:AC588)</f>
        <v>0</v>
      </c>
      <c r="D15" s="129" t="s">
        <v>699</v>
      </c>
      <c r="E15" s="130"/>
      <c r="F15" s="46">
        <f>VORN!I16</f>
        <v>0</v>
      </c>
      <c r="G15" s="129" t="s">
        <v>700</v>
      </c>
      <c r="H15" s="130"/>
      <c r="I15" s="47">
        <f>VORN!I22</f>
        <v>0</v>
      </c>
    </row>
    <row r="16" spans="1:9" ht="15.75" x14ac:dyDescent="0.25">
      <c r="A16" s="44" t="s">
        <v>701</v>
      </c>
      <c r="B16" s="45" t="s">
        <v>697</v>
      </c>
      <c r="C16" s="46">
        <f>SUM('Stavební rozpočet'!AD12:AD588)</f>
        <v>0</v>
      </c>
      <c r="D16" s="129" t="s">
        <v>702</v>
      </c>
      <c r="E16" s="130"/>
      <c r="F16" s="46">
        <f>VORN!I17</f>
        <v>0</v>
      </c>
      <c r="G16" s="129" t="s">
        <v>703</v>
      </c>
      <c r="H16" s="130"/>
      <c r="I16" s="47">
        <f>VORN!I23</f>
        <v>0</v>
      </c>
    </row>
    <row r="17" spans="1:9" ht="15.75" x14ac:dyDescent="0.25">
      <c r="A17" s="48" t="s">
        <v>48</v>
      </c>
      <c r="B17" s="45" t="s">
        <v>33</v>
      </c>
      <c r="C17" s="46">
        <f>SUM('Stavební rozpočet'!AE12:AE588)</f>
        <v>0</v>
      </c>
      <c r="D17" s="129" t="s">
        <v>48</v>
      </c>
      <c r="E17" s="130"/>
      <c r="F17" s="47" t="s">
        <v>48</v>
      </c>
      <c r="G17" s="129" t="s">
        <v>672</v>
      </c>
      <c r="H17" s="130"/>
      <c r="I17" s="47">
        <f>VORN!I24</f>
        <v>0</v>
      </c>
    </row>
    <row r="18" spans="1:9" ht="15.75" x14ac:dyDescent="0.25">
      <c r="A18" s="44" t="s">
        <v>704</v>
      </c>
      <c r="B18" s="45" t="s">
        <v>697</v>
      </c>
      <c r="C18" s="46">
        <f>SUM('Stavební rozpočet'!AF12:AF588)</f>
        <v>0</v>
      </c>
      <c r="D18" s="129" t="s">
        <v>48</v>
      </c>
      <c r="E18" s="130"/>
      <c r="F18" s="47" t="s">
        <v>48</v>
      </c>
      <c r="G18" s="129" t="s">
        <v>705</v>
      </c>
      <c r="H18" s="130"/>
      <c r="I18" s="47">
        <f>VORN!I25</f>
        <v>0</v>
      </c>
    </row>
    <row r="19" spans="1:9" ht="15.75" x14ac:dyDescent="0.25">
      <c r="A19" s="48" t="s">
        <v>48</v>
      </c>
      <c r="B19" s="45" t="s">
        <v>33</v>
      </c>
      <c r="C19" s="46">
        <f>SUM('Stavební rozpočet'!AG12:AG588)</f>
        <v>0</v>
      </c>
      <c r="D19" s="129" t="s">
        <v>48</v>
      </c>
      <c r="E19" s="130"/>
      <c r="F19" s="47" t="s">
        <v>48</v>
      </c>
      <c r="G19" s="129" t="s">
        <v>706</v>
      </c>
      <c r="H19" s="130"/>
      <c r="I19" s="47">
        <f>VORN!I26</f>
        <v>0</v>
      </c>
    </row>
    <row r="20" spans="1:9" ht="15.75" x14ac:dyDescent="0.25">
      <c r="A20" s="123" t="s">
        <v>707</v>
      </c>
      <c r="B20" s="124"/>
      <c r="C20" s="46">
        <f>SUM('Stavební rozpočet'!AH12:AH588)</f>
        <v>0</v>
      </c>
      <c r="D20" s="129" t="s">
        <v>48</v>
      </c>
      <c r="E20" s="130"/>
      <c r="F20" s="47" t="s">
        <v>48</v>
      </c>
      <c r="G20" s="129" t="s">
        <v>48</v>
      </c>
      <c r="H20" s="130"/>
      <c r="I20" s="47" t="s">
        <v>48</v>
      </c>
    </row>
    <row r="21" spans="1:9" ht="15.75" x14ac:dyDescent="0.25">
      <c r="A21" s="125" t="s">
        <v>708</v>
      </c>
      <c r="B21" s="126"/>
      <c r="C21" s="49">
        <f>SUM('Stavební rozpočet'!Z12:Z588)</f>
        <v>0</v>
      </c>
      <c r="D21" s="131" t="s">
        <v>48</v>
      </c>
      <c r="E21" s="132"/>
      <c r="F21" s="50" t="s">
        <v>48</v>
      </c>
      <c r="G21" s="131" t="s">
        <v>48</v>
      </c>
      <c r="H21" s="132"/>
      <c r="I21" s="50" t="s">
        <v>48</v>
      </c>
    </row>
    <row r="22" spans="1:9" ht="16.5" customHeight="1" x14ac:dyDescent="0.25">
      <c r="A22" s="127" t="s">
        <v>709</v>
      </c>
      <c r="B22" s="128"/>
      <c r="C22" s="51">
        <f>ROUND(SUM(C14:C21),2)</f>
        <v>0</v>
      </c>
      <c r="D22" s="133" t="s">
        <v>710</v>
      </c>
      <c r="E22" s="128"/>
      <c r="F22" s="51">
        <f>SUM(F14:F21)</f>
        <v>0</v>
      </c>
      <c r="G22" s="133" t="s">
        <v>711</v>
      </c>
      <c r="H22" s="128"/>
      <c r="I22" s="51">
        <f>SUM(I14:I21)</f>
        <v>0</v>
      </c>
    </row>
    <row r="23" spans="1:9" ht="15.75" x14ac:dyDescent="0.25">
      <c r="D23" s="123" t="s">
        <v>712</v>
      </c>
      <c r="E23" s="124"/>
      <c r="F23" s="52">
        <v>0</v>
      </c>
      <c r="G23" s="134" t="s">
        <v>713</v>
      </c>
      <c r="H23" s="124"/>
      <c r="I23" s="46">
        <v>0</v>
      </c>
    </row>
    <row r="24" spans="1:9" ht="15.75" x14ac:dyDescent="0.25">
      <c r="G24" s="123" t="s">
        <v>714</v>
      </c>
      <c r="H24" s="124"/>
      <c r="I24" s="49">
        <f>vorn_sum</f>
        <v>0</v>
      </c>
    </row>
    <row r="25" spans="1:9" ht="15.75" x14ac:dyDescent="0.25">
      <c r="G25" s="123" t="s">
        <v>715</v>
      </c>
      <c r="H25" s="124"/>
      <c r="I25" s="51">
        <v>0</v>
      </c>
    </row>
    <row r="27" spans="1:9" ht="15.75" x14ac:dyDescent="0.25">
      <c r="A27" s="135" t="s">
        <v>716</v>
      </c>
      <c r="B27" s="136"/>
      <c r="C27" s="53">
        <f>ROUND(SUM('Stavební rozpočet'!AJ12:AJ588),2)</f>
        <v>0</v>
      </c>
    </row>
    <row r="28" spans="1:9" ht="15.75" x14ac:dyDescent="0.25">
      <c r="A28" s="137" t="s">
        <v>717</v>
      </c>
      <c r="B28" s="138"/>
      <c r="C28" s="54">
        <f>ROUND(SUM('Stavební rozpočet'!AK12:AK588),2)</f>
        <v>0</v>
      </c>
      <c r="D28" s="139" t="s">
        <v>718</v>
      </c>
      <c r="E28" s="136"/>
      <c r="F28" s="53">
        <f>ROUND(C28*(12/100),2)</f>
        <v>0</v>
      </c>
      <c r="G28" s="139" t="s">
        <v>719</v>
      </c>
      <c r="H28" s="136"/>
      <c r="I28" s="53">
        <f>ROUND(SUM(C27:C29),2)</f>
        <v>0</v>
      </c>
    </row>
    <row r="29" spans="1:9" ht="15.75" x14ac:dyDescent="0.25">
      <c r="A29" s="137" t="s">
        <v>720</v>
      </c>
      <c r="B29" s="138"/>
      <c r="C29" s="54">
        <f>ROUND(SUM('Stavební rozpočet'!AL12:AL588),2)</f>
        <v>0</v>
      </c>
      <c r="D29" s="140" t="s">
        <v>721</v>
      </c>
      <c r="E29" s="138"/>
      <c r="F29" s="54">
        <f>ROUND(C29*(21/100),2)</f>
        <v>0</v>
      </c>
      <c r="G29" s="140" t="s">
        <v>722</v>
      </c>
      <c r="H29" s="138"/>
      <c r="I29" s="54">
        <f>ROUND(SUM(F28:F29)+I28,2)</f>
        <v>0</v>
      </c>
    </row>
    <row r="31" spans="1:9" x14ac:dyDescent="0.25">
      <c r="A31" s="150" t="s">
        <v>723</v>
      </c>
      <c r="B31" s="142"/>
      <c r="C31" s="143"/>
      <c r="D31" s="141" t="s">
        <v>724</v>
      </c>
      <c r="E31" s="142"/>
      <c r="F31" s="143"/>
      <c r="G31" s="141" t="s">
        <v>725</v>
      </c>
      <c r="H31" s="142"/>
      <c r="I31" s="143"/>
    </row>
    <row r="32" spans="1:9" x14ac:dyDescent="0.25">
      <c r="A32" s="151" t="s">
        <v>48</v>
      </c>
      <c r="B32" s="145"/>
      <c r="C32" s="146"/>
      <c r="D32" s="144" t="s">
        <v>48</v>
      </c>
      <c r="E32" s="145"/>
      <c r="F32" s="146"/>
      <c r="G32" s="144" t="s">
        <v>48</v>
      </c>
      <c r="H32" s="145"/>
      <c r="I32" s="146"/>
    </row>
    <row r="33" spans="1:9" x14ac:dyDescent="0.25">
      <c r="A33" s="151" t="s">
        <v>48</v>
      </c>
      <c r="B33" s="145"/>
      <c r="C33" s="146"/>
      <c r="D33" s="144" t="s">
        <v>48</v>
      </c>
      <c r="E33" s="145"/>
      <c r="F33" s="146"/>
      <c r="G33" s="144" t="s">
        <v>48</v>
      </c>
      <c r="H33" s="145"/>
      <c r="I33" s="146"/>
    </row>
    <row r="34" spans="1:9" x14ac:dyDescent="0.25">
      <c r="A34" s="151" t="s">
        <v>48</v>
      </c>
      <c r="B34" s="145"/>
      <c r="C34" s="146"/>
      <c r="D34" s="144" t="s">
        <v>48</v>
      </c>
      <c r="E34" s="145"/>
      <c r="F34" s="146"/>
      <c r="G34" s="144" t="s">
        <v>48</v>
      </c>
      <c r="H34" s="145"/>
      <c r="I34" s="146"/>
    </row>
    <row r="35" spans="1:9" x14ac:dyDescent="0.25">
      <c r="A35" s="152" t="s">
        <v>726</v>
      </c>
      <c r="B35" s="148"/>
      <c r="C35" s="149"/>
      <c r="D35" s="147" t="s">
        <v>726</v>
      </c>
      <c r="E35" s="148"/>
      <c r="F35" s="149"/>
      <c r="G35" s="147" t="s">
        <v>726</v>
      </c>
      <c r="H35" s="148"/>
      <c r="I35" s="149"/>
    </row>
    <row r="36" spans="1:9" x14ac:dyDescent="0.25">
      <c r="A36" s="55" t="s">
        <v>684</v>
      </c>
    </row>
    <row r="37" spans="1:9" ht="12.75" customHeight="1" x14ac:dyDescent="0.25">
      <c r="A37" s="109" t="s">
        <v>48</v>
      </c>
      <c r="B37" s="106"/>
      <c r="C37" s="106"/>
      <c r="D37" s="106"/>
      <c r="E37" s="106"/>
      <c r="F37" s="106"/>
      <c r="G37" s="106"/>
      <c r="H37" s="106"/>
      <c r="I37" s="106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01" t="s">
        <v>656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3" t="s">
        <v>1</v>
      </c>
      <c r="B2" s="104"/>
      <c r="C2" s="113" t="str">
        <f>'Stavební rozpočet'!C2</f>
        <v>Stavební úpravy jídelny MŠ Na Kopečku</v>
      </c>
      <c r="D2" s="114"/>
      <c r="E2" s="108" t="s">
        <v>5</v>
      </c>
      <c r="F2" s="108" t="str">
        <f>'Stavební rozpočet'!I2</f>
        <v> </v>
      </c>
      <c r="G2" s="104"/>
      <c r="H2" s="108" t="s">
        <v>686</v>
      </c>
      <c r="I2" s="110" t="s">
        <v>48</v>
      </c>
    </row>
    <row r="3" spans="1:9" ht="15" customHeight="1" x14ac:dyDescent="0.25">
      <c r="A3" s="105"/>
      <c r="B3" s="106"/>
      <c r="C3" s="115"/>
      <c r="D3" s="115"/>
      <c r="E3" s="106"/>
      <c r="F3" s="106"/>
      <c r="G3" s="106"/>
      <c r="H3" s="106"/>
      <c r="I3" s="111"/>
    </row>
    <row r="4" spans="1:9" x14ac:dyDescent="0.25">
      <c r="A4" s="107" t="s">
        <v>7</v>
      </c>
      <c r="B4" s="106"/>
      <c r="C4" s="109" t="str">
        <f>'Stavební rozpočet'!C4</f>
        <v xml:space="preserve"> </v>
      </c>
      <c r="D4" s="106"/>
      <c r="E4" s="109" t="s">
        <v>10</v>
      </c>
      <c r="F4" s="109" t="str">
        <f>'Stavební rozpočet'!I4</f>
        <v> </v>
      </c>
      <c r="G4" s="106"/>
      <c r="H4" s="109" t="s">
        <v>686</v>
      </c>
      <c r="I4" s="111" t="s">
        <v>48</v>
      </c>
    </row>
    <row r="5" spans="1:9" ht="15" customHeight="1" x14ac:dyDescent="0.25">
      <c r="A5" s="105"/>
      <c r="B5" s="106"/>
      <c r="C5" s="106"/>
      <c r="D5" s="106"/>
      <c r="E5" s="106"/>
      <c r="F5" s="106"/>
      <c r="G5" s="106"/>
      <c r="H5" s="106"/>
      <c r="I5" s="111"/>
    </row>
    <row r="6" spans="1:9" x14ac:dyDescent="0.25">
      <c r="A6" s="107" t="s">
        <v>11</v>
      </c>
      <c r="B6" s="106"/>
      <c r="C6" s="109" t="str">
        <f>'Stavební rozpočet'!C6</f>
        <v xml:space="preserve"> </v>
      </c>
      <c r="D6" s="106"/>
      <c r="E6" s="109" t="s">
        <v>13</v>
      </c>
      <c r="F6" s="109" t="str">
        <f>'Stavební rozpočet'!I6</f>
        <v> </v>
      </c>
      <c r="G6" s="106"/>
      <c r="H6" s="109" t="s">
        <v>686</v>
      </c>
      <c r="I6" s="111" t="s">
        <v>48</v>
      </c>
    </row>
    <row r="7" spans="1:9" ht="15" customHeight="1" x14ac:dyDescent="0.25">
      <c r="A7" s="105"/>
      <c r="B7" s="106"/>
      <c r="C7" s="106"/>
      <c r="D7" s="106"/>
      <c r="E7" s="106"/>
      <c r="F7" s="106"/>
      <c r="G7" s="106"/>
      <c r="H7" s="106"/>
      <c r="I7" s="111"/>
    </row>
    <row r="8" spans="1:9" x14ac:dyDescent="0.25">
      <c r="A8" s="107" t="s">
        <v>8</v>
      </c>
      <c r="B8" s="106"/>
      <c r="C8" s="109" t="str">
        <f>'Stavební rozpočet'!G4</f>
        <v>05.02.2026</v>
      </c>
      <c r="D8" s="106"/>
      <c r="E8" s="109" t="s">
        <v>12</v>
      </c>
      <c r="F8" s="109" t="str">
        <f>'Stavební rozpočet'!G6</f>
        <v xml:space="preserve"> </v>
      </c>
      <c r="G8" s="106"/>
      <c r="H8" s="106" t="s">
        <v>687</v>
      </c>
      <c r="I8" s="112">
        <v>143</v>
      </c>
    </row>
    <row r="9" spans="1:9" x14ac:dyDescent="0.25">
      <c r="A9" s="105"/>
      <c r="B9" s="106"/>
      <c r="C9" s="106"/>
      <c r="D9" s="106"/>
      <c r="E9" s="106"/>
      <c r="F9" s="106"/>
      <c r="G9" s="106"/>
      <c r="H9" s="106"/>
      <c r="I9" s="111"/>
    </row>
    <row r="10" spans="1:9" x14ac:dyDescent="0.25">
      <c r="A10" s="107" t="s">
        <v>14</v>
      </c>
      <c r="B10" s="106"/>
      <c r="C10" s="109" t="str">
        <f>'Stavební rozpočet'!C8</f>
        <v>8013113</v>
      </c>
      <c r="D10" s="106"/>
      <c r="E10" s="109" t="s">
        <v>17</v>
      </c>
      <c r="F10" s="109" t="str">
        <f>'Stavební rozpočet'!I8</f>
        <v>Ing. Holík</v>
      </c>
      <c r="G10" s="106"/>
      <c r="H10" s="106" t="s">
        <v>688</v>
      </c>
      <c r="I10" s="117" t="str">
        <f>'Stavební rozpočet'!G8</f>
        <v>05.02.2026</v>
      </c>
    </row>
    <row r="11" spans="1:9" x14ac:dyDescent="0.25">
      <c r="A11" s="122"/>
      <c r="B11" s="116"/>
      <c r="C11" s="116"/>
      <c r="D11" s="116"/>
      <c r="E11" s="116"/>
      <c r="F11" s="116"/>
      <c r="G11" s="116"/>
      <c r="H11" s="116"/>
      <c r="I11" s="118"/>
    </row>
    <row r="13" spans="1:9" ht="15.75" x14ac:dyDescent="0.25">
      <c r="A13" s="153" t="s">
        <v>727</v>
      </c>
      <c r="B13" s="153"/>
      <c r="C13" s="153"/>
      <c r="D13" s="153"/>
      <c r="E13" s="153"/>
    </row>
    <row r="14" spans="1:9" x14ac:dyDescent="0.25">
      <c r="A14" s="154" t="s">
        <v>728</v>
      </c>
      <c r="B14" s="155"/>
      <c r="C14" s="155"/>
      <c r="D14" s="155"/>
      <c r="E14" s="156"/>
      <c r="F14" s="56" t="s">
        <v>729</v>
      </c>
      <c r="G14" s="56" t="s">
        <v>730</v>
      </c>
      <c r="H14" s="56" t="s">
        <v>731</v>
      </c>
      <c r="I14" s="56" t="s">
        <v>729</v>
      </c>
    </row>
    <row r="15" spans="1:9" x14ac:dyDescent="0.25">
      <c r="A15" s="157" t="s">
        <v>698</v>
      </c>
      <c r="B15" s="158"/>
      <c r="C15" s="158"/>
      <c r="D15" s="158"/>
      <c r="E15" s="159"/>
      <c r="F15" s="57">
        <v>0</v>
      </c>
      <c r="G15" s="58" t="s">
        <v>48</v>
      </c>
      <c r="H15" s="58" t="s">
        <v>48</v>
      </c>
      <c r="I15" s="57">
        <f>F15</f>
        <v>0</v>
      </c>
    </row>
    <row r="16" spans="1:9" x14ac:dyDescent="0.25">
      <c r="A16" s="157" t="s">
        <v>699</v>
      </c>
      <c r="B16" s="158"/>
      <c r="C16" s="158"/>
      <c r="D16" s="158"/>
      <c r="E16" s="159"/>
      <c r="F16" s="57">
        <v>0</v>
      </c>
      <c r="G16" s="58" t="s">
        <v>48</v>
      </c>
      <c r="H16" s="58" t="s">
        <v>48</v>
      </c>
      <c r="I16" s="57">
        <f>F16</f>
        <v>0</v>
      </c>
    </row>
    <row r="17" spans="1:9" x14ac:dyDescent="0.25">
      <c r="A17" s="160" t="s">
        <v>702</v>
      </c>
      <c r="B17" s="161"/>
      <c r="C17" s="161"/>
      <c r="D17" s="161"/>
      <c r="E17" s="162"/>
      <c r="F17" s="59">
        <v>0</v>
      </c>
      <c r="G17" s="60" t="s">
        <v>48</v>
      </c>
      <c r="H17" s="60" t="s">
        <v>48</v>
      </c>
      <c r="I17" s="59">
        <f>F17</f>
        <v>0</v>
      </c>
    </row>
    <row r="18" spans="1:9" x14ac:dyDescent="0.25">
      <c r="A18" s="163" t="s">
        <v>732</v>
      </c>
      <c r="B18" s="164"/>
      <c r="C18" s="164"/>
      <c r="D18" s="164"/>
      <c r="E18" s="165"/>
      <c r="F18" s="61" t="s">
        <v>48</v>
      </c>
      <c r="G18" s="62" t="s">
        <v>48</v>
      </c>
      <c r="H18" s="62" t="s">
        <v>48</v>
      </c>
      <c r="I18" s="63">
        <f>SUM(I15:I17)</f>
        <v>0</v>
      </c>
    </row>
    <row r="20" spans="1:9" x14ac:dyDescent="0.25">
      <c r="A20" s="154" t="s">
        <v>695</v>
      </c>
      <c r="B20" s="155"/>
      <c r="C20" s="155"/>
      <c r="D20" s="155"/>
      <c r="E20" s="156"/>
      <c r="F20" s="56" t="s">
        <v>729</v>
      </c>
      <c r="G20" s="56" t="s">
        <v>730</v>
      </c>
      <c r="H20" s="56" t="s">
        <v>731</v>
      </c>
      <c r="I20" s="56" t="s">
        <v>729</v>
      </c>
    </row>
    <row r="21" spans="1:9" x14ac:dyDescent="0.25">
      <c r="A21" s="157" t="s">
        <v>658</v>
      </c>
      <c r="B21" s="158"/>
      <c r="C21" s="158"/>
      <c r="D21" s="158"/>
      <c r="E21" s="159"/>
      <c r="F21" s="57">
        <v>0</v>
      </c>
      <c r="G21" s="58" t="s">
        <v>48</v>
      </c>
      <c r="H21" s="58" t="s">
        <v>48</v>
      </c>
      <c r="I21" s="57">
        <f t="shared" ref="I21:I26" si="0">F21</f>
        <v>0</v>
      </c>
    </row>
    <row r="22" spans="1:9" x14ac:dyDescent="0.25">
      <c r="A22" s="157" t="s">
        <v>700</v>
      </c>
      <c r="B22" s="158"/>
      <c r="C22" s="158"/>
      <c r="D22" s="158"/>
      <c r="E22" s="159"/>
      <c r="F22" s="57">
        <v>0</v>
      </c>
      <c r="G22" s="58" t="s">
        <v>48</v>
      </c>
      <c r="H22" s="58" t="s">
        <v>48</v>
      </c>
      <c r="I22" s="57">
        <f t="shared" si="0"/>
        <v>0</v>
      </c>
    </row>
    <row r="23" spans="1:9" x14ac:dyDescent="0.25">
      <c r="A23" s="157" t="s">
        <v>703</v>
      </c>
      <c r="B23" s="158"/>
      <c r="C23" s="158"/>
      <c r="D23" s="158"/>
      <c r="E23" s="159"/>
      <c r="F23" s="57">
        <v>0</v>
      </c>
      <c r="G23" s="58" t="s">
        <v>48</v>
      </c>
      <c r="H23" s="58" t="s">
        <v>48</v>
      </c>
      <c r="I23" s="57">
        <f t="shared" si="0"/>
        <v>0</v>
      </c>
    </row>
    <row r="24" spans="1:9" x14ac:dyDescent="0.25">
      <c r="A24" s="157" t="s">
        <v>672</v>
      </c>
      <c r="B24" s="158"/>
      <c r="C24" s="158"/>
      <c r="D24" s="158"/>
      <c r="E24" s="159"/>
      <c r="F24" s="57">
        <v>0</v>
      </c>
      <c r="G24" s="58" t="s">
        <v>48</v>
      </c>
      <c r="H24" s="58" t="s">
        <v>48</v>
      </c>
      <c r="I24" s="57">
        <f t="shared" si="0"/>
        <v>0</v>
      </c>
    </row>
    <row r="25" spans="1:9" x14ac:dyDescent="0.25">
      <c r="A25" s="157" t="s">
        <v>705</v>
      </c>
      <c r="B25" s="158"/>
      <c r="C25" s="158"/>
      <c r="D25" s="158"/>
      <c r="E25" s="159"/>
      <c r="F25" s="57">
        <v>0</v>
      </c>
      <c r="G25" s="58" t="s">
        <v>48</v>
      </c>
      <c r="H25" s="58" t="s">
        <v>48</v>
      </c>
      <c r="I25" s="57">
        <f t="shared" si="0"/>
        <v>0</v>
      </c>
    </row>
    <row r="26" spans="1:9" x14ac:dyDescent="0.25">
      <c r="A26" s="160" t="s">
        <v>706</v>
      </c>
      <c r="B26" s="161"/>
      <c r="C26" s="161"/>
      <c r="D26" s="161"/>
      <c r="E26" s="162"/>
      <c r="F26" s="59">
        <v>0</v>
      </c>
      <c r="G26" s="60" t="s">
        <v>48</v>
      </c>
      <c r="H26" s="60" t="s">
        <v>48</v>
      </c>
      <c r="I26" s="59">
        <f t="shared" si="0"/>
        <v>0</v>
      </c>
    </row>
    <row r="27" spans="1:9" x14ac:dyDescent="0.25">
      <c r="A27" s="163" t="s">
        <v>733</v>
      </c>
      <c r="B27" s="164"/>
      <c r="C27" s="164"/>
      <c r="D27" s="164"/>
      <c r="E27" s="165"/>
      <c r="F27" s="61" t="s">
        <v>48</v>
      </c>
      <c r="G27" s="62" t="s">
        <v>48</v>
      </c>
      <c r="H27" s="62" t="s">
        <v>48</v>
      </c>
      <c r="I27" s="63">
        <f>SUM(I21:I26)</f>
        <v>0</v>
      </c>
    </row>
    <row r="29" spans="1:9" ht="15.75" x14ac:dyDescent="0.25">
      <c r="A29" s="166" t="s">
        <v>734</v>
      </c>
      <c r="B29" s="167"/>
      <c r="C29" s="167"/>
      <c r="D29" s="167"/>
      <c r="E29" s="168"/>
      <c r="F29" s="169">
        <f>I18+I27</f>
        <v>0</v>
      </c>
      <c r="G29" s="170"/>
      <c r="H29" s="170"/>
      <c r="I29" s="171"/>
    </row>
    <row r="33" spans="1:9" ht="15.75" x14ac:dyDescent="0.25">
      <c r="A33" s="153" t="s">
        <v>735</v>
      </c>
      <c r="B33" s="153"/>
      <c r="C33" s="153"/>
      <c r="D33" s="153"/>
      <c r="E33" s="153"/>
    </row>
    <row r="34" spans="1:9" x14ac:dyDescent="0.25">
      <c r="A34" s="154" t="s">
        <v>736</v>
      </c>
      <c r="B34" s="155"/>
      <c r="C34" s="155"/>
      <c r="D34" s="155"/>
      <c r="E34" s="156"/>
      <c r="F34" s="56" t="s">
        <v>729</v>
      </c>
      <c r="G34" s="56" t="s">
        <v>730</v>
      </c>
      <c r="H34" s="56" t="s">
        <v>731</v>
      </c>
      <c r="I34" s="56" t="s">
        <v>729</v>
      </c>
    </row>
    <row r="35" spans="1:9" x14ac:dyDescent="0.25">
      <c r="A35" s="157" t="s">
        <v>737</v>
      </c>
      <c r="B35" s="158"/>
      <c r="C35" s="158"/>
      <c r="D35" s="158"/>
      <c r="E35" s="159"/>
      <c r="F35" s="57">
        <f>SUM('Stavební rozpočet'!BM12:BM588)</f>
        <v>0</v>
      </c>
      <c r="G35" s="58" t="s">
        <v>48</v>
      </c>
      <c r="H35" s="58" t="s">
        <v>48</v>
      </c>
      <c r="I35" s="57">
        <f t="shared" ref="I35:I44" si="1">F35</f>
        <v>0</v>
      </c>
    </row>
    <row r="36" spans="1:9" x14ac:dyDescent="0.25">
      <c r="A36" s="157" t="s">
        <v>738</v>
      </c>
      <c r="B36" s="158"/>
      <c r="C36" s="158"/>
      <c r="D36" s="158"/>
      <c r="E36" s="159"/>
      <c r="F36" s="57">
        <f>SUM('Stavební rozpočet'!BN12:BN588)</f>
        <v>0</v>
      </c>
      <c r="G36" s="58" t="s">
        <v>48</v>
      </c>
      <c r="H36" s="58" t="s">
        <v>48</v>
      </c>
      <c r="I36" s="57">
        <f t="shared" si="1"/>
        <v>0</v>
      </c>
    </row>
    <row r="37" spans="1:9" x14ac:dyDescent="0.25">
      <c r="A37" s="157" t="s">
        <v>658</v>
      </c>
      <c r="B37" s="158"/>
      <c r="C37" s="158"/>
      <c r="D37" s="158"/>
      <c r="E37" s="159"/>
      <c r="F37" s="57">
        <f>SUM('Stavební rozpočet'!BO12:BO588)</f>
        <v>0</v>
      </c>
      <c r="G37" s="58" t="s">
        <v>48</v>
      </c>
      <c r="H37" s="58" t="s">
        <v>48</v>
      </c>
      <c r="I37" s="57">
        <f t="shared" si="1"/>
        <v>0</v>
      </c>
    </row>
    <row r="38" spans="1:9" x14ac:dyDescent="0.25">
      <c r="A38" s="157" t="s">
        <v>739</v>
      </c>
      <c r="B38" s="158"/>
      <c r="C38" s="158"/>
      <c r="D38" s="158"/>
      <c r="E38" s="159"/>
      <c r="F38" s="57">
        <f>SUM('Stavební rozpočet'!BP12:BP588)</f>
        <v>0</v>
      </c>
      <c r="G38" s="58" t="s">
        <v>48</v>
      </c>
      <c r="H38" s="58" t="s">
        <v>48</v>
      </c>
      <c r="I38" s="57">
        <f t="shared" si="1"/>
        <v>0</v>
      </c>
    </row>
    <row r="39" spans="1:9" x14ac:dyDescent="0.25">
      <c r="A39" s="157" t="s">
        <v>740</v>
      </c>
      <c r="B39" s="158"/>
      <c r="C39" s="158"/>
      <c r="D39" s="158"/>
      <c r="E39" s="159"/>
      <c r="F39" s="57">
        <f>SUM('Stavební rozpočet'!BQ12:BQ588)</f>
        <v>0</v>
      </c>
      <c r="G39" s="58" t="s">
        <v>48</v>
      </c>
      <c r="H39" s="58" t="s">
        <v>48</v>
      </c>
      <c r="I39" s="57">
        <f t="shared" si="1"/>
        <v>0</v>
      </c>
    </row>
    <row r="40" spans="1:9" x14ac:dyDescent="0.25">
      <c r="A40" s="157" t="s">
        <v>703</v>
      </c>
      <c r="B40" s="158"/>
      <c r="C40" s="158"/>
      <c r="D40" s="158"/>
      <c r="E40" s="159"/>
      <c r="F40" s="57">
        <f>SUM('Stavební rozpočet'!BR12:BR588)</f>
        <v>0</v>
      </c>
      <c r="G40" s="58" t="s">
        <v>48</v>
      </c>
      <c r="H40" s="58" t="s">
        <v>48</v>
      </c>
      <c r="I40" s="57">
        <f t="shared" si="1"/>
        <v>0</v>
      </c>
    </row>
    <row r="41" spans="1:9" x14ac:dyDescent="0.25">
      <c r="A41" s="157" t="s">
        <v>672</v>
      </c>
      <c r="B41" s="158"/>
      <c r="C41" s="158"/>
      <c r="D41" s="158"/>
      <c r="E41" s="159"/>
      <c r="F41" s="57">
        <f>SUM('Stavební rozpočet'!BS12:BS588)</f>
        <v>0</v>
      </c>
      <c r="G41" s="58" t="s">
        <v>48</v>
      </c>
      <c r="H41" s="58" t="s">
        <v>48</v>
      </c>
      <c r="I41" s="57">
        <f t="shared" si="1"/>
        <v>0</v>
      </c>
    </row>
    <row r="42" spans="1:9" x14ac:dyDescent="0.25">
      <c r="A42" s="157" t="s">
        <v>741</v>
      </c>
      <c r="B42" s="158"/>
      <c r="C42" s="158"/>
      <c r="D42" s="158"/>
      <c r="E42" s="159"/>
      <c r="F42" s="57">
        <f>SUM('Stavební rozpočet'!BT12:BT588)</f>
        <v>0</v>
      </c>
      <c r="G42" s="58" t="s">
        <v>48</v>
      </c>
      <c r="H42" s="58" t="s">
        <v>48</v>
      </c>
      <c r="I42" s="57">
        <f t="shared" si="1"/>
        <v>0</v>
      </c>
    </row>
    <row r="43" spans="1:9" x14ac:dyDescent="0.25">
      <c r="A43" s="157" t="s">
        <v>742</v>
      </c>
      <c r="B43" s="158"/>
      <c r="C43" s="158"/>
      <c r="D43" s="158"/>
      <c r="E43" s="159"/>
      <c r="F43" s="57">
        <f>SUM('Stavební rozpočet'!BU12:BU588)</f>
        <v>0</v>
      </c>
      <c r="G43" s="58" t="s">
        <v>48</v>
      </c>
      <c r="H43" s="58" t="s">
        <v>48</v>
      </c>
      <c r="I43" s="57">
        <f t="shared" si="1"/>
        <v>0</v>
      </c>
    </row>
    <row r="44" spans="1:9" x14ac:dyDescent="0.25">
      <c r="A44" s="160" t="s">
        <v>743</v>
      </c>
      <c r="B44" s="161"/>
      <c r="C44" s="161"/>
      <c r="D44" s="161"/>
      <c r="E44" s="162"/>
      <c r="F44" s="59">
        <f>SUM('Stavební rozpočet'!BV12:BV588)</f>
        <v>0</v>
      </c>
      <c r="G44" s="60" t="s">
        <v>48</v>
      </c>
      <c r="H44" s="60" t="s">
        <v>48</v>
      </c>
      <c r="I44" s="59">
        <f t="shared" si="1"/>
        <v>0</v>
      </c>
    </row>
    <row r="45" spans="1:9" x14ac:dyDescent="0.25">
      <c r="A45" s="163" t="s">
        <v>744</v>
      </c>
      <c r="B45" s="164"/>
      <c r="C45" s="164"/>
      <c r="D45" s="164"/>
      <c r="E45" s="165"/>
      <c r="F45" s="61" t="s">
        <v>48</v>
      </c>
      <c r="G45" s="62" t="s">
        <v>48</v>
      </c>
      <c r="H45" s="62" t="s">
        <v>48</v>
      </c>
      <c r="I45" s="63">
        <f>SUM(I35:I44)</f>
        <v>0</v>
      </c>
    </row>
  </sheetData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97"/>
  <sheetViews>
    <sheetView workbookViewId="0">
      <pane ySplit="11" topLeftCell="A97" activePane="bottomLeft" state="frozen"/>
      <selection pane="bottomLeft" activeCell="G116" sqref="G116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9.85546875" customWidth="1"/>
    <col min="6" max="6" width="12.85546875" customWidth="1"/>
    <col min="7" max="7" width="12" customWidth="1"/>
    <col min="8" max="10" width="15.7109375" customWidth="1"/>
    <col min="11" max="11" width="17.855468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03" t="s">
        <v>1</v>
      </c>
      <c r="B2" s="104"/>
      <c r="C2" s="113" t="s">
        <v>2</v>
      </c>
      <c r="D2" s="114"/>
      <c r="E2" s="104" t="s">
        <v>3</v>
      </c>
      <c r="F2" s="104"/>
      <c r="G2" s="104" t="s">
        <v>4</v>
      </c>
      <c r="H2" s="108" t="s">
        <v>5</v>
      </c>
      <c r="I2" s="104" t="s">
        <v>6</v>
      </c>
      <c r="J2" s="104"/>
      <c r="K2" s="110"/>
    </row>
    <row r="3" spans="1:76" x14ac:dyDescent="0.25">
      <c r="A3" s="105"/>
      <c r="B3" s="106"/>
      <c r="C3" s="115"/>
      <c r="D3" s="115"/>
      <c r="E3" s="106"/>
      <c r="F3" s="106"/>
      <c r="G3" s="106"/>
      <c r="H3" s="106"/>
      <c r="I3" s="106"/>
      <c r="J3" s="106"/>
      <c r="K3" s="111"/>
    </row>
    <row r="4" spans="1:76" x14ac:dyDescent="0.25">
      <c r="A4" s="107" t="s">
        <v>7</v>
      </c>
      <c r="B4" s="106"/>
      <c r="C4" s="109" t="s">
        <v>4</v>
      </c>
      <c r="D4" s="106"/>
      <c r="E4" s="106" t="s">
        <v>8</v>
      </c>
      <c r="F4" s="106"/>
      <c r="G4" s="106" t="s">
        <v>9</v>
      </c>
      <c r="H4" s="109" t="s">
        <v>10</v>
      </c>
      <c r="I4" s="106" t="s">
        <v>6</v>
      </c>
      <c r="J4" s="106"/>
      <c r="K4" s="111"/>
    </row>
    <row r="5" spans="1:76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11"/>
    </row>
    <row r="6" spans="1:76" x14ac:dyDescent="0.25">
      <c r="A6" s="107" t="s">
        <v>11</v>
      </c>
      <c r="B6" s="106"/>
      <c r="C6" s="109" t="s">
        <v>4</v>
      </c>
      <c r="D6" s="106"/>
      <c r="E6" s="106" t="s">
        <v>12</v>
      </c>
      <c r="F6" s="106"/>
      <c r="G6" s="106" t="s">
        <v>4</v>
      </c>
      <c r="H6" s="109" t="s">
        <v>13</v>
      </c>
      <c r="I6" s="106" t="s">
        <v>6</v>
      </c>
      <c r="J6" s="106"/>
      <c r="K6" s="111"/>
    </row>
    <row r="7" spans="1:76" x14ac:dyDescent="0.2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11"/>
    </row>
    <row r="8" spans="1:76" x14ac:dyDescent="0.25">
      <c r="A8" s="107" t="s">
        <v>14</v>
      </c>
      <c r="B8" s="106"/>
      <c r="C8" s="109" t="s">
        <v>15</v>
      </c>
      <c r="D8" s="106"/>
      <c r="E8" s="106" t="s">
        <v>16</v>
      </c>
      <c r="F8" s="106"/>
      <c r="G8" s="106" t="s">
        <v>9</v>
      </c>
      <c r="H8" s="109" t="s">
        <v>17</v>
      </c>
      <c r="I8" s="109" t="s">
        <v>18</v>
      </c>
      <c r="J8" s="106"/>
      <c r="K8" s="111"/>
    </row>
    <row r="9" spans="1:76" x14ac:dyDescent="0.25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83"/>
    </row>
    <row r="10" spans="1:76" x14ac:dyDescent="0.25">
      <c r="A10" s="5" t="s">
        <v>19</v>
      </c>
      <c r="B10" s="6" t="s">
        <v>20</v>
      </c>
      <c r="C10" s="184" t="s">
        <v>21</v>
      </c>
      <c r="D10" s="185"/>
      <c r="E10" s="6" t="s">
        <v>22</v>
      </c>
      <c r="F10" s="7" t="s">
        <v>23</v>
      </c>
      <c r="G10" s="8" t="s">
        <v>24</v>
      </c>
      <c r="H10" s="176" t="s">
        <v>25</v>
      </c>
      <c r="I10" s="177"/>
      <c r="J10" s="178"/>
      <c r="K10" s="9" t="s">
        <v>26</v>
      </c>
      <c r="BK10" s="10" t="s">
        <v>27</v>
      </c>
      <c r="BL10" s="11" t="s">
        <v>28</v>
      </c>
      <c r="BW10" s="11" t="s">
        <v>29</v>
      </c>
    </row>
    <row r="11" spans="1:76" x14ac:dyDescent="0.25">
      <c r="A11" s="12" t="s">
        <v>4</v>
      </c>
      <c r="B11" s="13" t="s">
        <v>4</v>
      </c>
      <c r="C11" s="174" t="s">
        <v>30</v>
      </c>
      <c r="D11" s="175"/>
      <c r="E11" s="13" t="s">
        <v>4</v>
      </c>
      <c r="F11" s="13" t="s">
        <v>4</v>
      </c>
      <c r="G11" s="14" t="s">
        <v>31</v>
      </c>
      <c r="H11" s="15" t="s">
        <v>32</v>
      </c>
      <c r="I11" s="16" t="s">
        <v>33</v>
      </c>
      <c r="J11" s="17" t="s">
        <v>34</v>
      </c>
      <c r="K11" s="18" t="s">
        <v>35</v>
      </c>
      <c r="Z11" s="10" t="s">
        <v>36</v>
      </c>
      <c r="AA11" s="10" t="s">
        <v>37</v>
      </c>
      <c r="AB11" s="10" t="s">
        <v>38</v>
      </c>
      <c r="AC11" s="10" t="s">
        <v>39</v>
      </c>
      <c r="AD11" s="10" t="s">
        <v>40</v>
      </c>
      <c r="AE11" s="10" t="s">
        <v>41</v>
      </c>
      <c r="AF11" s="10" t="s">
        <v>42</v>
      </c>
      <c r="AG11" s="10" t="s">
        <v>43</v>
      </c>
      <c r="AH11" s="10" t="s">
        <v>44</v>
      </c>
      <c r="BH11" s="10" t="s">
        <v>45</v>
      </c>
      <c r="BI11" s="10" t="s">
        <v>46</v>
      </c>
      <c r="BJ11" s="10" t="s">
        <v>47</v>
      </c>
    </row>
    <row r="12" spans="1:76" x14ac:dyDescent="0.25">
      <c r="A12" s="19" t="s">
        <v>48</v>
      </c>
      <c r="B12" s="20" t="s">
        <v>49</v>
      </c>
      <c r="C12" s="179" t="s">
        <v>50</v>
      </c>
      <c r="D12" s="180"/>
      <c r="E12" s="21" t="s">
        <v>4</v>
      </c>
      <c r="F12" s="21" t="s">
        <v>4</v>
      </c>
      <c r="G12" s="21" t="s">
        <v>4</v>
      </c>
      <c r="H12" s="22">
        <f>ROUND(SUM(H13:H13),2)</f>
        <v>0</v>
      </c>
      <c r="I12" s="22">
        <f>ROUND(SUM(I13:I13),2)</f>
        <v>0</v>
      </c>
      <c r="J12" s="22">
        <f>ROUND(SUM(J13:J13),2)</f>
        <v>0</v>
      </c>
      <c r="K12" s="23" t="s">
        <v>48</v>
      </c>
      <c r="AI12" s="10" t="s">
        <v>48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 x14ac:dyDescent="0.25">
      <c r="A13" s="2" t="s">
        <v>51</v>
      </c>
      <c r="B13" s="3" t="s">
        <v>52</v>
      </c>
      <c r="C13" s="109" t="s">
        <v>53</v>
      </c>
      <c r="D13" s="106"/>
      <c r="E13" s="3" t="s">
        <v>54</v>
      </c>
      <c r="F13" s="24">
        <v>7.28</v>
      </c>
      <c r="G13" s="24">
        <v>0</v>
      </c>
      <c r="H13" s="24">
        <f>ROUND(F13*AO13,2)</f>
        <v>0</v>
      </c>
      <c r="I13" s="24">
        <f>ROUND(F13*AP13,2)</f>
        <v>0</v>
      </c>
      <c r="J13" s="24">
        <f>ROUND(F13*G13,2)</f>
        <v>0</v>
      </c>
      <c r="K13" s="25" t="s">
        <v>55</v>
      </c>
      <c r="Z13" s="24">
        <f>ROUND(IF(AQ13="5",BJ13,0),2)</f>
        <v>0</v>
      </c>
      <c r="AB13" s="24">
        <f>ROUND(IF(AQ13="1",BH13,0),2)</f>
        <v>0</v>
      </c>
      <c r="AC13" s="24">
        <f>ROUND(IF(AQ13="1",BI13,0),2)</f>
        <v>0</v>
      </c>
      <c r="AD13" s="24">
        <f>ROUND(IF(AQ13="7",BH13,0),2)</f>
        <v>0</v>
      </c>
      <c r="AE13" s="24">
        <f>ROUND(IF(AQ13="7",BI13,0),2)</f>
        <v>0</v>
      </c>
      <c r="AF13" s="24">
        <f>ROUND(IF(AQ13="2",BH13,0),2)</f>
        <v>0</v>
      </c>
      <c r="AG13" s="24">
        <f>ROUND(IF(AQ13="2",BI13,0),2)</f>
        <v>0</v>
      </c>
      <c r="AH13" s="24">
        <f>ROUND(IF(AQ13="0",BJ13,0),2)</f>
        <v>0</v>
      </c>
      <c r="AI13" s="10" t="s">
        <v>48</v>
      </c>
      <c r="AJ13" s="24">
        <f>IF(AN13=0,J13,0)</f>
        <v>0</v>
      </c>
      <c r="AK13" s="24">
        <f>IF(AN13=12,J13,0)</f>
        <v>0</v>
      </c>
      <c r="AL13" s="24">
        <f>IF(AN13=21,J13,0)</f>
        <v>0</v>
      </c>
      <c r="AN13" s="24">
        <v>21</v>
      </c>
      <c r="AO13" s="24">
        <f>G13*0</f>
        <v>0</v>
      </c>
      <c r="AP13" s="24">
        <f>G13*(1-0)</f>
        <v>0</v>
      </c>
      <c r="AQ13" s="26" t="s">
        <v>51</v>
      </c>
      <c r="AV13" s="24">
        <f>ROUND(AW13+AX13,2)</f>
        <v>0</v>
      </c>
      <c r="AW13" s="24">
        <f>ROUND(F13*AO13,2)</f>
        <v>0</v>
      </c>
      <c r="AX13" s="24">
        <f>ROUND(F13*AP13,2)</f>
        <v>0</v>
      </c>
      <c r="AY13" s="26" t="s">
        <v>56</v>
      </c>
      <c r="AZ13" s="26" t="s">
        <v>56</v>
      </c>
      <c r="BA13" s="10" t="s">
        <v>57</v>
      </c>
      <c r="BC13" s="24">
        <f>AW13+AX13</f>
        <v>0</v>
      </c>
      <c r="BD13" s="24">
        <f>G13/(100-BE13)*100</f>
        <v>0</v>
      </c>
      <c r="BE13" s="24">
        <v>0</v>
      </c>
      <c r="BF13" s="24">
        <f>13</f>
        <v>13</v>
      </c>
      <c r="BH13" s="24">
        <f>F13*AO13</f>
        <v>0</v>
      </c>
      <c r="BI13" s="24">
        <f>F13*AP13</f>
        <v>0</v>
      </c>
      <c r="BJ13" s="24">
        <f>F13*G13</f>
        <v>0</v>
      </c>
      <c r="BK13" s="26" t="s">
        <v>58</v>
      </c>
      <c r="BL13" s="24">
        <v>13</v>
      </c>
      <c r="BW13" s="24">
        <v>21</v>
      </c>
      <c r="BX13" s="4" t="s">
        <v>53</v>
      </c>
    </row>
    <row r="14" spans="1:76" x14ac:dyDescent="0.25">
      <c r="A14" s="27"/>
      <c r="C14" s="28" t="s">
        <v>59</v>
      </c>
      <c r="D14" s="28" t="s">
        <v>60</v>
      </c>
      <c r="F14" s="29">
        <v>7.28</v>
      </c>
      <c r="K14" s="30"/>
    </row>
    <row r="15" spans="1:76" x14ac:dyDescent="0.25">
      <c r="A15" s="31" t="s">
        <v>48</v>
      </c>
      <c r="B15" s="32" t="s">
        <v>61</v>
      </c>
      <c r="C15" s="181" t="s">
        <v>62</v>
      </c>
      <c r="D15" s="182"/>
      <c r="E15" s="33" t="s">
        <v>4</v>
      </c>
      <c r="F15" s="33" t="s">
        <v>4</v>
      </c>
      <c r="G15" s="33" t="s">
        <v>4</v>
      </c>
      <c r="H15" s="1">
        <f>ROUND(SUM(H16:H22),2)</f>
        <v>0</v>
      </c>
      <c r="I15" s="1">
        <f>ROUND(SUM(I16:I22),2)</f>
        <v>0</v>
      </c>
      <c r="J15" s="1">
        <f>ROUND(SUM(J16:J22),2)</f>
        <v>0</v>
      </c>
      <c r="K15" s="34" t="s">
        <v>48</v>
      </c>
      <c r="AI15" s="10" t="s">
        <v>48</v>
      </c>
      <c r="AS15" s="1">
        <f>SUM(AJ16:AJ22)</f>
        <v>0</v>
      </c>
      <c r="AT15" s="1">
        <f>SUM(AK16:AK22)</f>
        <v>0</v>
      </c>
      <c r="AU15" s="1">
        <f>SUM(AL16:AL22)</f>
        <v>0</v>
      </c>
    </row>
    <row r="16" spans="1:76" x14ac:dyDescent="0.25">
      <c r="A16" s="2" t="s">
        <v>63</v>
      </c>
      <c r="B16" s="3" t="s">
        <v>64</v>
      </c>
      <c r="C16" s="109" t="s">
        <v>65</v>
      </c>
      <c r="D16" s="106"/>
      <c r="E16" s="3" t="s">
        <v>54</v>
      </c>
      <c r="F16" s="24">
        <v>7.28</v>
      </c>
      <c r="G16" s="24">
        <v>0</v>
      </c>
      <c r="H16" s="24">
        <f>ROUND(F16*AO16,2)</f>
        <v>0</v>
      </c>
      <c r="I16" s="24">
        <f>ROUND(F16*AP16,2)</f>
        <v>0</v>
      </c>
      <c r="J16" s="24">
        <f>ROUND(F16*G16,2)</f>
        <v>0</v>
      </c>
      <c r="K16" s="25" t="s">
        <v>55</v>
      </c>
      <c r="Z16" s="24">
        <f>ROUND(IF(AQ16="5",BJ16,0),2)</f>
        <v>0</v>
      </c>
      <c r="AB16" s="24">
        <f>ROUND(IF(AQ16="1",BH16,0),2)</f>
        <v>0</v>
      </c>
      <c r="AC16" s="24">
        <f>ROUND(IF(AQ16="1",BI16,0),2)</f>
        <v>0</v>
      </c>
      <c r="AD16" s="24">
        <f>ROUND(IF(AQ16="7",BH16,0),2)</f>
        <v>0</v>
      </c>
      <c r="AE16" s="24">
        <f>ROUND(IF(AQ16="7",BI16,0),2)</f>
        <v>0</v>
      </c>
      <c r="AF16" s="24">
        <f>ROUND(IF(AQ16="2",BH16,0),2)</f>
        <v>0</v>
      </c>
      <c r="AG16" s="24">
        <f>ROUND(IF(AQ16="2",BI16,0),2)</f>
        <v>0</v>
      </c>
      <c r="AH16" s="24">
        <f>ROUND(IF(AQ16="0",BJ16,0),2)</f>
        <v>0</v>
      </c>
      <c r="AI16" s="10" t="s">
        <v>48</v>
      </c>
      <c r="AJ16" s="24">
        <f>IF(AN16=0,J16,0)</f>
        <v>0</v>
      </c>
      <c r="AK16" s="24">
        <f>IF(AN16=12,J16,0)</f>
        <v>0</v>
      </c>
      <c r="AL16" s="24">
        <f>IF(AN16=21,J16,0)</f>
        <v>0</v>
      </c>
      <c r="AN16" s="24">
        <v>21</v>
      </c>
      <c r="AO16" s="24">
        <f>G16*0</f>
        <v>0</v>
      </c>
      <c r="AP16" s="24">
        <f>G16*(1-0)</f>
        <v>0</v>
      </c>
      <c r="AQ16" s="26" t="s">
        <v>51</v>
      </c>
      <c r="AV16" s="24">
        <f>ROUND(AW16+AX16,2)</f>
        <v>0</v>
      </c>
      <c r="AW16" s="24">
        <f>ROUND(F16*AO16,2)</f>
        <v>0</v>
      </c>
      <c r="AX16" s="24">
        <f>ROUND(F16*AP16,2)</f>
        <v>0</v>
      </c>
      <c r="AY16" s="26" t="s">
        <v>66</v>
      </c>
      <c r="AZ16" s="26" t="s">
        <v>66</v>
      </c>
      <c r="BA16" s="10" t="s">
        <v>57</v>
      </c>
      <c r="BC16" s="24">
        <f>AW16+AX16</f>
        <v>0</v>
      </c>
      <c r="BD16" s="24">
        <f>G16/(100-BE16)*100</f>
        <v>0</v>
      </c>
      <c r="BE16" s="24">
        <v>0</v>
      </c>
      <c r="BF16" s="24">
        <f>16</f>
        <v>16</v>
      </c>
      <c r="BH16" s="24">
        <f>F16*AO16</f>
        <v>0</v>
      </c>
      <c r="BI16" s="24">
        <f>F16*AP16</f>
        <v>0</v>
      </c>
      <c r="BJ16" s="24">
        <f>F16*G16</f>
        <v>0</v>
      </c>
      <c r="BK16" s="26" t="s">
        <v>58</v>
      </c>
      <c r="BL16" s="24">
        <v>16</v>
      </c>
      <c r="BW16" s="24">
        <v>21</v>
      </c>
      <c r="BX16" s="4" t="s">
        <v>65</v>
      </c>
    </row>
    <row r="17" spans="1:76" x14ac:dyDescent="0.25">
      <c r="A17" s="27"/>
      <c r="C17" s="28" t="s">
        <v>67</v>
      </c>
      <c r="D17" s="28" t="s">
        <v>68</v>
      </c>
      <c r="F17" s="29">
        <v>7.28</v>
      </c>
      <c r="K17" s="30"/>
    </row>
    <row r="18" spans="1:76" x14ac:dyDescent="0.25">
      <c r="A18" s="2" t="s">
        <v>69</v>
      </c>
      <c r="B18" s="3" t="s">
        <v>70</v>
      </c>
      <c r="C18" s="109" t="s">
        <v>71</v>
      </c>
      <c r="D18" s="106"/>
      <c r="E18" s="3" t="s">
        <v>54</v>
      </c>
      <c r="F18" s="24">
        <v>7.28</v>
      </c>
      <c r="G18" s="24">
        <v>0</v>
      </c>
      <c r="H18" s="24">
        <f>ROUND(F18*AO18,2)</f>
        <v>0</v>
      </c>
      <c r="I18" s="24">
        <f>ROUND(F18*AP18,2)</f>
        <v>0</v>
      </c>
      <c r="J18" s="24">
        <f>ROUND(F18*G18,2)</f>
        <v>0</v>
      </c>
      <c r="K18" s="25" t="s">
        <v>55</v>
      </c>
      <c r="Z18" s="24">
        <f>ROUND(IF(AQ18="5",BJ18,0),2)</f>
        <v>0</v>
      </c>
      <c r="AB18" s="24">
        <f>ROUND(IF(AQ18="1",BH18,0),2)</f>
        <v>0</v>
      </c>
      <c r="AC18" s="24">
        <f>ROUND(IF(AQ18="1",BI18,0),2)</f>
        <v>0</v>
      </c>
      <c r="AD18" s="24">
        <f>ROUND(IF(AQ18="7",BH18,0),2)</f>
        <v>0</v>
      </c>
      <c r="AE18" s="24">
        <f>ROUND(IF(AQ18="7",BI18,0),2)</f>
        <v>0</v>
      </c>
      <c r="AF18" s="24">
        <f>ROUND(IF(AQ18="2",BH18,0),2)</f>
        <v>0</v>
      </c>
      <c r="AG18" s="24">
        <f>ROUND(IF(AQ18="2",BI18,0),2)</f>
        <v>0</v>
      </c>
      <c r="AH18" s="24">
        <f>ROUND(IF(AQ18="0",BJ18,0),2)</f>
        <v>0</v>
      </c>
      <c r="AI18" s="10" t="s">
        <v>48</v>
      </c>
      <c r="AJ18" s="24">
        <f>IF(AN18=0,J18,0)</f>
        <v>0</v>
      </c>
      <c r="AK18" s="24">
        <f>IF(AN18=12,J18,0)</f>
        <v>0</v>
      </c>
      <c r="AL18" s="24">
        <f>IF(AN18=21,J18,0)</f>
        <v>0</v>
      </c>
      <c r="AN18" s="24">
        <v>21</v>
      </c>
      <c r="AO18" s="24">
        <f>G18*0</f>
        <v>0</v>
      </c>
      <c r="AP18" s="24">
        <f>G18*(1-0)</f>
        <v>0</v>
      </c>
      <c r="AQ18" s="26" t="s">
        <v>51</v>
      </c>
      <c r="AV18" s="24">
        <f>ROUND(AW18+AX18,2)</f>
        <v>0</v>
      </c>
      <c r="AW18" s="24">
        <f>ROUND(F18*AO18,2)</f>
        <v>0</v>
      </c>
      <c r="AX18" s="24">
        <f>ROUND(F18*AP18,2)</f>
        <v>0</v>
      </c>
      <c r="AY18" s="26" t="s">
        <v>66</v>
      </c>
      <c r="AZ18" s="26" t="s">
        <v>66</v>
      </c>
      <c r="BA18" s="10" t="s">
        <v>57</v>
      </c>
      <c r="BC18" s="24">
        <f>AW18+AX18</f>
        <v>0</v>
      </c>
      <c r="BD18" s="24">
        <f>G18/(100-BE18)*100</f>
        <v>0</v>
      </c>
      <c r="BE18" s="24">
        <v>0</v>
      </c>
      <c r="BF18" s="24">
        <f>18</f>
        <v>18</v>
      </c>
      <c r="BH18" s="24">
        <f>F18*AO18</f>
        <v>0</v>
      </c>
      <c r="BI18" s="24">
        <f>F18*AP18</f>
        <v>0</v>
      </c>
      <c r="BJ18" s="24">
        <f>F18*G18</f>
        <v>0</v>
      </c>
      <c r="BK18" s="26" t="s">
        <v>58</v>
      </c>
      <c r="BL18" s="24">
        <v>16</v>
      </c>
      <c r="BW18" s="24">
        <v>21</v>
      </c>
      <c r="BX18" s="4" t="s">
        <v>71</v>
      </c>
    </row>
    <row r="19" spans="1:76" x14ac:dyDescent="0.25">
      <c r="A19" s="27"/>
      <c r="C19" s="28" t="s">
        <v>67</v>
      </c>
      <c r="D19" s="28" t="s">
        <v>68</v>
      </c>
      <c r="F19" s="29">
        <v>7.28</v>
      </c>
      <c r="K19" s="30"/>
    </row>
    <row r="20" spans="1:76" x14ac:dyDescent="0.25">
      <c r="A20" s="2" t="s">
        <v>72</v>
      </c>
      <c r="B20" s="3" t="s">
        <v>73</v>
      </c>
      <c r="C20" s="109" t="s">
        <v>74</v>
      </c>
      <c r="D20" s="106"/>
      <c r="E20" s="3" t="s">
        <v>54</v>
      </c>
      <c r="F20" s="24">
        <v>7.28</v>
      </c>
      <c r="G20" s="24">
        <v>0</v>
      </c>
      <c r="H20" s="24">
        <f>ROUND(F20*AO20,2)</f>
        <v>0</v>
      </c>
      <c r="I20" s="24">
        <f>ROUND(F20*AP20,2)</f>
        <v>0</v>
      </c>
      <c r="J20" s="24">
        <f>ROUND(F20*G20,2)</f>
        <v>0</v>
      </c>
      <c r="K20" s="25" t="s">
        <v>55</v>
      </c>
      <c r="Z20" s="24">
        <f>ROUND(IF(AQ20="5",BJ20,0),2)</f>
        <v>0</v>
      </c>
      <c r="AB20" s="24">
        <f>ROUND(IF(AQ20="1",BH20,0),2)</f>
        <v>0</v>
      </c>
      <c r="AC20" s="24">
        <f>ROUND(IF(AQ20="1",BI20,0),2)</f>
        <v>0</v>
      </c>
      <c r="AD20" s="24">
        <f>ROUND(IF(AQ20="7",BH20,0),2)</f>
        <v>0</v>
      </c>
      <c r="AE20" s="24">
        <f>ROUND(IF(AQ20="7",BI20,0),2)</f>
        <v>0</v>
      </c>
      <c r="AF20" s="24">
        <f>ROUND(IF(AQ20="2",BH20,0),2)</f>
        <v>0</v>
      </c>
      <c r="AG20" s="24">
        <f>ROUND(IF(AQ20="2",BI20,0),2)</f>
        <v>0</v>
      </c>
      <c r="AH20" s="24">
        <f>ROUND(IF(AQ20="0",BJ20,0),2)</f>
        <v>0</v>
      </c>
      <c r="AI20" s="10" t="s">
        <v>48</v>
      </c>
      <c r="AJ20" s="24">
        <f>IF(AN20=0,J20,0)</f>
        <v>0</v>
      </c>
      <c r="AK20" s="24">
        <f>IF(AN20=12,J20,0)</f>
        <v>0</v>
      </c>
      <c r="AL20" s="24">
        <f>IF(AN20=21,J20,0)</f>
        <v>0</v>
      </c>
      <c r="AN20" s="24">
        <v>21</v>
      </c>
      <c r="AO20" s="24">
        <f>G20*0</f>
        <v>0</v>
      </c>
      <c r="AP20" s="24">
        <f>G20*(1-0)</f>
        <v>0</v>
      </c>
      <c r="AQ20" s="26" t="s">
        <v>51</v>
      </c>
      <c r="AV20" s="24">
        <f>ROUND(AW20+AX20,2)</f>
        <v>0</v>
      </c>
      <c r="AW20" s="24">
        <f>ROUND(F20*AO20,2)</f>
        <v>0</v>
      </c>
      <c r="AX20" s="24">
        <f>ROUND(F20*AP20,2)</f>
        <v>0</v>
      </c>
      <c r="AY20" s="26" t="s">
        <v>66</v>
      </c>
      <c r="AZ20" s="26" t="s">
        <v>66</v>
      </c>
      <c r="BA20" s="10" t="s">
        <v>57</v>
      </c>
      <c r="BC20" s="24">
        <f>AW20+AX20</f>
        <v>0</v>
      </c>
      <c r="BD20" s="24">
        <f>G20/(100-BE20)*100</f>
        <v>0</v>
      </c>
      <c r="BE20" s="24">
        <v>0</v>
      </c>
      <c r="BF20" s="24">
        <f>20</f>
        <v>20</v>
      </c>
      <c r="BH20" s="24">
        <f>F20*AO20</f>
        <v>0</v>
      </c>
      <c r="BI20" s="24">
        <f>F20*AP20</f>
        <v>0</v>
      </c>
      <c r="BJ20" s="24">
        <f>F20*G20</f>
        <v>0</v>
      </c>
      <c r="BK20" s="26" t="s">
        <v>58</v>
      </c>
      <c r="BL20" s="24">
        <v>16</v>
      </c>
      <c r="BW20" s="24">
        <v>21</v>
      </c>
      <c r="BX20" s="4" t="s">
        <v>74</v>
      </c>
    </row>
    <row r="21" spans="1:76" x14ac:dyDescent="0.25">
      <c r="A21" s="27"/>
      <c r="C21" s="28" t="s">
        <v>67</v>
      </c>
      <c r="D21" s="28" t="s">
        <v>68</v>
      </c>
      <c r="F21" s="29">
        <v>7.28</v>
      </c>
      <c r="K21" s="30"/>
    </row>
    <row r="22" spans="1:76" x14ac:dyDescent="0.25">
      <c r="A22" s="2" t="s">
        <v>75</v>
      </c>
      <c r="B22" s="3" t="s">
        <v>76</v>
      </c>
      <c r="C22" s="109" t="s">
        <v>77</v>
      </c>
      <c r="D22" s="106"/>
      <c r="E22" s="3" t="s">
        <v>54</v>
      </c>
      <c r="F22" s="24">
        <v>7.28</v>
      </c>
      <c r="G22" s="24">
        <v>0</v>
      </c>
      <c r="H22" s="24">
        <f>ROUND(F22*AO22,2)</f>
        <v>0</v>
      </c>
      <c r="I22" s="24">
        <f>ROUND(F22*AP22,2)</f>
        <v>0</v>
      </c>
      <c r="J22" s="24">
        <f>ROUND(F22*G22,2)</f>
        <v>0</v>
      </c>
      <c r="K22" s="25" t="s">
        <v>55</v>
      </c>
      <c r="Z22" s="24">
        <f>ROUND(IF(AQ22="5",BJ22,0),2)</f>
        <v>0</v>
      </c>
      <c r="AB22" s="24">
        <f>ROUND(IF(AQ22="1",BH22,0),2)</f>
        <v>0</v>
      </c>
      <c r="AC22" s="24">
        <f>ROUND(IF(AQ22="1",BI22,0),2)</f>
        <v>0</v>
      </c>
      <c r="AD22" s="24">
        <f>ROUND(IF(AQ22="7",BH22,0),2)</f>
        <v>0</v>
      </c>
      <c r="AE22" s="24">
        <f>ROUND(IF(AQ22="7",BI22,0),2)</f>
        <v>0</v>
      </c>
      <c r="AF22" s="24">
        <f>ROUND(IF(AQ22="2",BH22,0),2)</f>
        <v>0</v>
      </c>
      <c r="AG22" s="24">
        <f>ROUND(IF(AQ22="2",BI22,0),2)</f>
        <v>0</v>
      </c>
      <c r="AH22" s="24">
        <f>ROUND(IF(AQ22="0",BJ22,0),2)</f>
        <v>0</v>
      </c>
      <c r="AI22" s="10" t="s">
        <v>48</v>
      </c>
      <c r="AJ22" s="24">
        <f>IF(AN22=0,J22,0)</f>
        <v>0</v>
      </c>
      <c r="AK22" s="24">
        <f>IF(AN22=12,J22,0)</f>
        <v>0</v>
      </c>
      <c r="AL22" s="24">
        <f>IF(AN22=21,J22,0)</f>
        <v>0</v>
      </c>
      <c r="AN22" s="24">
        <v>21</v>
      </c>
      <c r="AO22" s="24">
        <f>G22*0</f>
        <v>0</v>
      </c>
      <c r="AP22" s="24">
        <f>G22*(1-0)</f>
        <v>0</v>
      </c>
      <c r="AQ22" s="26" t="s">
        <v>51</v>
      </c>
      <c r="AV22" s="24">
        <f>ROUND(AW22+AX22,2)</f>
        <v>0</v>
      </c>
      <c r="AW22" s="24">
        <f>ROUND(F22*AO22,2)</f>
        <v>0</v>
      </c>
      <c r="AX22" s="24">
        <f>ROUND(F22*AP22,2)</f>
        <v>0</v>
      </c>
      <c r="AY22" s="26" t="s">
        <v>66</v>
      </c>
      <c r="AZ22" s="26" t="s">
        <v>66</v>
      </c>
      <c r="BA22" s="10" t="s">
        <v>57</v>
      </c>
      <c r="BC22" s="24">
        <f>AW22+AX22</f>
        <v>0</v>
      </c>
      <c r="BD22" s="24">
        <f>G22/(100-BE22)*100</f>
        <v>0</v>
      </c>
      <c r="BE22" s="24">
        <v>0</v>
      </c>
      <c r="BF22" s="24">
        <f>22</f>
        <v>22</v>
      </c>
      <c r="BH22" s="24">
        <f>F22*AO22</f>
        <v>0</v>
      </c>
      <c r="BI22" s="24">
        <f>F22*AP22</f>
        <v>0</v>
      </c>
      <c r="BJ22" s="24">
        <f>F22*G22</f>
        <v>0</v>
      </c>
      <c r="BK22" s="26" t="s">
        <v>58</v>
      </c>
      <c r="BL22" s="24">
        <v>16</v>
      </c>
      <c r="BW22" s="24">
        <v>21</v>
      </c>
      <c r="BX22" s="4" t="s">
        <v>77</v>
      </c>
    </row>
    <row r="23" spans="1:76" x14ac:dyDescent="0.25">
      <c r="A23" s="27"/>
      <c r="C23" s="28" t="s">
        <v>67</v>
      </c>
      <c r="D23" s="28" t="s">
        <v>78</v>
      </c>
      <c r="F23" s="29">
        <v>7.28</v>
      </c>
      <c r="K23" s="30"/>
    </row>
    <row r="24" spans="1:76" x14ac:dyDescent="0.25">
      <c r="A24" s="31" t="s">
        <v>48</v>
      </c>
      <c r="B24" s="32" t="s">
        <v>79</v>
      </c>
      <c r="C24" s="181" t="s">
        <v>80</v>
      </c>
      <c r="D24" s="182"/>
      <c r="E24" s="33" t="s">
        <v>4</v>
      </c>
      <c r="F24" s="33" t="s">
        <v>4</v>
      </c>
      <c r="G24" s="33" t="s">
        <v>4</v>
      </c>
      <c r="H24" s="1">
        <f>ROUND(SUM(H25:H25),2)</f>
        <v>0</v>
      </c>
      <c r="I24" s="1">
        <f>ROUND(SUM(I25:I25),2)</f>
        <v>0</v>
      </c>
      <c r="J24" s="1">
        <f>ROUND(SUM(J25:J25),2)</f>
        <v>0</v>
      </c>
      <c r="K24" s="34" t="s">
        <v>48</v>
      </c>
      <c r="AI24" s="10" t="s">
        <v>48</v>
      </c>
      <c r="AS24" s="1">
        <f>SUM(AJ25:AJ25)</f>
        <v>0</v>
      </c>
      <c r="AT24" s="1">
        <f>SUM(AK25:AK25)</f>
        <v>0</v>
      </c>
      <c r="AU24" s="1">
        <f>SUM(AL25:AL25)</f>
        <v>0</v>
      </c>
    </row>
    <row r="25" spans="1:76" x14ac:dyDescent="0.25">
      <c r="A25" s="2" t="s">
        <v>81</v>
      </c>
      <c r="B25" s="3" t="s">
        <v>82</v>
      </c>
      <c r="C25" s="109" t="s">
        <v>83</v>
      </c>
      <c r="D25" s="106"/>
      <c r="E25" s="3" t="s">
        <v>84</v>
      </c>
      <c r="F25" s="24">
        <v>36.4</v>
      </c>
      <c r="G25" s="24">
        <v>0</v>
      </c>
      <c r="H25" s="24">
        <f>ROUND(F25*AO25,2)</f>
        <v>0</v>
      </c>
      <c r="I25" s="24">
        <f>ROUND(F25*AP25,2)</f>
        <v>0</v>
      </c>
      <c r="J25" s="24">
        <f>ROUND(F25*G25,2)</f>
        <v>0</v>
      </c>
      <c r="K25" s="25" t="s">
        <v>55</v>
      </c>
      <c r="Z25" s="24">
        <f>ROUND(IF(AQ25="5",BJ25,0),2)</f>
        <v>0</v>
      </c>
      <c r="AB25" s="24">
        <f>ROUND(IF(AQ25="1",BH25,0),2)</f>
        <v>0</v>
      </c>
      <c r="AC25" s="24">
        <f>ROUND(IF(AQ25="1",BI25,0),2)</f>
        <v>0</v>
      </c>
      <c r="AD25" s="24">
        <f>ROUND(IF(AQ25="7",BH25,0),2)</f>
        <v>0</v>
      </c>
      <c r="AE25" s="24">
        <f>ROUND(IF(AQ25="7",BI25,0),2)</f>
        <v>0</v>
      </c>
      <c r="AF25" s="24">
        <f>ROUND(IF(AQ25="2",BH25,0),2)</f>
        <v>0</v>
      </c>
      <c r="AG25" s="24">
        <f>ROUND(IF(AQ25="2",BI25,0),2)</f>
        <v>0</v>
      </c>
      <c r="AH25" s="24">
        <f>ROUND(IF(AQ25="0",BJ25,0),2)</f>
        <v>0</v>
      </c>
      <c r="AI25" s="10" t="s">
        <v>48</v>
      </c>
      <c r="AJ25" s="24">
        <f>IF(AN25=0,J25,0)</f>
        <v>0</v>
      </c>
      <c r="AK25" s="24">
        <f>IF(AN25=12,J25,0)</f>
        <v>0</v>
      </c>
      <c r="AL25" s="24">
        <f>IF(AN25=21,J25,0)</f>
        <v>0</v>
      </c>
      <c r="AN25" s="24">
        <v>21</v>
      </c>
      <c r="AO25" s="24">
        <f>G25*0</f>
        <v>0</v>
      </c>
      <c r="AP25" s="24">
        <f>G25*(1-0)</f>
        <v>0</v>
      </c>
      <c r="AQ25" s="26" t="s">
        <v>51</v>
      </c>
      <c r="AV25" s="24">
        <f>ROUND(AW25+AX25,2)</f>
        <v>0</v>
      </c>
      <c r="AW25" s="24">
        <f>ROUND(F25*AO25,2)</f>
        <v>0</v>
      </c>
      <c r="AX25" s="24">
        <f>ROUND(F25*AP25,2)</f>
        <v>0</v>
      </c>
      <c r="AY25" s="26" t="s">
        <v>85</v>
      </c>
      <c r="AZ25" s="26" t="s">
        <v>85</v>
      </c>
      <c r="BA25" s="10" t="s">
        <v>57</v>
      </c>
      <c r="BC25" s="24">
        <f>AW25+AX25</f>
        <v>0</v>
      </c>
      <c r="BD25" s="24">
        <f>G25/(100-BE25)*100</f>
        <v>0</v>
      </c>
      <c r="BE25" s="24">
        <v>0</v>
      </c>
      <c r="BF25" s="24">
        <f>25</f>
        <v>25</v>
      </c>
      <c r="BH25" s="24">
        <f>F25*AO25</f>
        <v>0</v>
      </c>
      <c r="BI25" s="24">
        <f>F25*AP25</f>
        <v>0</v>
      </c>
      <c r="BJ25" s="24">
        <f>F25*G25</f>
        <v>0</v>
      </c>
      <c r="BK25" s="26" t="s">
        <v>58</v>
      </c>
      <c r="BL25" s="24">
        <v>21</v>
      </c>
      <c r="BW25" s="24">
        <v>21</v>
      </c>
      <c r="BX25" s="4" t="s">
        <v>83</v>
      </c>
    </row>
    <row r="26" spans="1:76" x14ac:dyDescent="0.25">
      <c r="A26" s="27"/>
      <c r="C26" s="28" t="s">
        <v>86</v>
      </c>
      <c r="D26" s="28" t="s">
        <v>87</v>
      </c>
      <c r="F26" s="29">
        <v>36.4</v>
      </c>
      <c r="K26" s="30"/>
    </row>
    <row r="27" spans="1:76" x14ac:dyDescent="0.25">
      <c r="A27" s="31" t="s">
        <v>48</v>
      </c>
      <c r="B27" s="32" t="s">
        <v>88</v>
      </c>
      <c r="C27" s="181" t="s">
        <v>89</v>
      </c>
      <c r="D27" s="182"/>
      <c r="E27" s="33" t="s">
        <v>4</v>
      </c>
      <c r="F27" s="33" t="s">
        <v>4</v>
      </c>
      <c r="G27" s="33" t="s">
        <v>4</v>
      </c>
      <c r="H27" s="1">
        <f>ROUND(SUM(H28:H45),2)</f>
        <v>0</v>
      </c>
      <c r="I27" s="1">
        <f>ROUND(SUM(I28:I45),2)</f>
        <v>0</v>
      </c>
      <c r="J27" s="1">
        <f>ROUND(SUM(J28:J45),2)</f>
        <v>0</v>
      </c>
      <c r="K27" s="34" t="s">
        <v>48</v>
      </c>
      <c r="AI27" s="10" t="s">
        <v>48</v>
      </c>
      <c r="AS27" s="1">
        <f>SUM(AJ28:AJ45)</f>
        <v>0</v>
      </c>
      <c r="AT27" s="1">
        <f>SUM(AK28:AK45)</f>
        <v>0</v>
      </c>
      <c r="AU27" s="1">
        <f>SUM(AL28:AL45)</f>
        <v>0</v>
      </c>
    </row>
    <row r="28" spans="1:76" x14ac:dyDescent="0.25">
      <c r="A28" s="2" t="s">
        <v>90</v>
      </c>
      <c r="B28" s="3" t="s">
        <v>91</v>
      </c>
      <c r="C28" s="109" t="s">
        <v>92</v>
      </c>
      <c r="D28" s="106"/>
      <c r="E28" s="3" t="s">
        <v>54</v>
      </c>
      <c r="F28" s="24">
        <v>3.64</v>
      </c>
      <c r="G28" s="24">
        <v>0</v>
      </c>
      <c r="H28" s="24">
        <f>ROUND(F28*AO28,2)</f>
        <v>0</v>
      </c>
      <c r="I28" s="24">
        <f>ROUND(F28*AP28,2)</f>
        <v>0</v>
      </c>
      <c r="J28" s="24">
        <f>ROUND(F28*G28,2)</f>
        <v>0</v>
      </c>
      <c r="K28" s="25" t="s">
        <v>55</v>
      </c>
      <c r="Z28" s="24">
        <f>ROUND(IF(AQ28="5",BJ28,0),2)</f>
        <v>0</v>
      </c>
      <c r="AB28" s="24">
        <f>ROUND(IF(AQ28="1",BH28,0),2)</f>
        <v>0</v>
      </c>
      <c r="AC28" s="24">
        <f>ROUND(IF(AQ28="1",BI28,0),2)</f>
        <v>0</v>
      </c>
      <c r="AD28" s="24">
        <f>ROUND(IF(AQ28="7",BH28,0),2)</f>
        <v>0</v>
      </c>
      <c r="AE28" s="24">
        <f>ROUND(IF(AQ28="7",BI28,0),2)</f>
        <v>0</v>
      </c>
      <c r="AF28" s="24">
        <f>ROUND(IF(AQ28="2",BH28,0),2)</f>
        <v>0</v>
      </c>
      <c r="AG28" s="24">
        <f>ROUND(IF(AQ28="2",BI28,0),2)</f>
        <v>0</v>
      </c>
      <c r="AH28" s="24">
        <f>ROUND(IF(AQ28="0",BJ28,0),2)</f>
        <v>0</v>
      </c>
      <c r="AI28" s="10" t="s">
        <v>48</v>
      </c>
      <c r="AJ28" s="24">
        <f>IF(AN28=0,J28,0)</f>
        <v>0</v>
      </c>
      <c r="AK28" s="24">
        <f>IF(AN28=12,J28,0)</f>
        <v>0</v>
      </c>
      <c r="AL28" s="24">
        <f>IF(AN28=21,J28,0)</f>
        <v>0</v>
      </c>
      <c r="AN28" s="24">
        <v>21</v>
      </c>
      <c r="AO28" s="24">
        <f>G28*0.660370075</f>
        <v>0</v>
      </c>
      <c r="AP28" s="24">
        <f>G28*(1-0.660370075)</f>
        <v>0</v>
      </c>
      <c r="AQ28" s="26" t="s">
        <v>51</v>
      </c>
      <c r="AV28" s="24">
        <f>ROUND(AW28+AX28,2)</f>
        <v>0</v>
      </c>
      <c r="AW28" s="24">
        <f>ROUND(F28*AO28,2)</f>
        <v>0</v>
      </c>
      <c r="AX28" s="24">
        <f>ROUND(F28*AP28,2)</f>
        <v>0</v>
      </c>
      <c r="AY28" s="26" t="s">
        <v>93</v>
      </c>
      <c r="AZ28" s="26" t="s">
        <v>93</v>
      </c>
      <c r="BA28" s="10" t="s">
        <v>57</v>
      </c>
      <c r="BC28" s="24">
        <f>AW28+AX28</f>
        <v>0</v>
      </c>
      <c r="BD28" s="24">
        <f>G28/(100-BE28)*100</f>
        <v>0</v>
      </c>
      <c r="BE28" s="24">
        <v>0</v>
      </c>
      <c r="BF28" s="24">
        <f>28</f>
        <v>28</v>
      </c>
      <c r="BH28" s="24">
        <f>F28*AO28</f>
        <v>0</v>
      </c>
      <c r="BI28" s="24">
        <f>F28*AP28</f>
        <v>0</v>
      </c>
      <c r="BJ28" s="24">
        <f>F28*G28</f>
        <v>0</v>
      </c>
      <c r="BK28" s="26" t="s">
        <v>58</v>
      </c>
      <c r="BL28" s="24">
        <v>27</v>
      </c>
      <c r="BW28" s="24">
        <v>21</v>
      </c>
      <c r="BX28" s="4" t="s">
        <v>92</v>
      </c>
    </row>
    <row r="29" spans="1:76" x14ac:dyDescent="0.25">
      <c r="A29" s="27"/>
      <c r="C29" s="28" t="s">
        <v>94</v>
      </c>
      <c r="D29" s="28" t="s">
        <v>95</v>
      </c>
      <c r="F29" s="29">
        <v>3.64</v>
      </c>
      <c r="K29" s="30"/>
    </row>
    <row r="30" spans="1:76" x14ac:dyDescent="0.25">
      <c r="A30" s="2" t="s">
        <v>96</v>
      </c>
      <c r="B30" s="3" t="s">
        <v>97</v>
      </c>
      <c r="C30" s="109" t="s">
        <v>98</v>
      </c>
      <c r="D30" s="106"/>
      <c r="E30" s="3" t="s">
        <v>54</v>
      </c>
      <c r="F30" s="24">
        <v>9.1</v>
      </c>
      <c r="G30" s="24">
        <v>0</v>
      </c>
      <c r="H30" s="24">
        <f>ROUND(F30*AO30,2)</f>
        <v>0</v>
      </c>
      <c r="I30" s="24">
        <f>ROUND(F30*AP30,2)</f>
        <v>0</v>
      </c>
      <c r="J30" s="24">
        <f>ROUND(F30*G30,2)</f>
        <v>0</v>
      </c>
      <c r="K30" s="25" t="s">
        <v>55</v>
      </c>
      <c r="Z30" s="24">
        <f>ROUND(IF(AQ30="5",BJ30,0),2)</f>
        <v>0</v>
      </c>
      <c r="AB30" s="24">
        <f>ROUND(IF(AQ30="1",BH30,0),2)</f>
        <v>0</v>
      </c>
      <c r="AC30" s="24">
        <f>ROUND(IF(AQ30="1",BI30,0),2)</f>
        <v>0</v>
      </c>
      <c r="AD30" s="24">
        <f>ROUND(IF(AQ30="7",BH30,0),2)</f>
        <v>0</v>
      </c>
      <c r="AE30" s="24">
        <f>ROUND(IF(AQ30="7",BI30,0),2)</f>
        <v>0</v>
      </c>
      <c r="AF30" s="24">
        <f>ROUND(IF(AQ30="2",BH30,0),2)</f>
        <v>0</v>
      </c>
      <c r="AG30" s="24">
        <f>ROUND(IF(AQ30="2",BI30,0),2)</f>
        <v>0</v>
      </c>
      <c r="AH30" s="24">
        <f>ROUND(IF(AQ30="0",BJ30,0),2)</f>
        <v>0</v>
      </c>
      <c r="AI30" s="10" t="s">
        <v>48</v>
      </c>
      <c r="AJ30" s="24">
        <f>IF(AN30=0,J30,0)</f>
        <v>0</v>
      </c>
      <c r="AK30" s="24">
        <f>IF(AN30=12,J30,0)</f>
        <v>0</v>
      </c>
      <c r="AL30" s="24">
        <f>IF(AN30=21,J30,0)</f>
        <v>0</v>
      </c>
      <c r="AN30" s="24">
        <v>21</v>
      </c>
      <c r="AO30" s="24">
        <f>G30*0.894912038</f>
        <v>0</v>
      </c>
      <c r="AP30" s="24">
        <f>G30*(1-0.894912038)</f>
        <v>0</v>
      </c>
      <c r="AQ30" s="26" t="s">
        <v>51</v>
      </c>
      <c r="AV30" s="24">
        <f>ROUND(AW30+AX30,2)</f>
        <v>0</v>
      </c>
      <c r="AW30" s="24">
        <f>ROUND(F30*AO30,2)</f>
        <v>0</v>
      </c>
      <c r="AX30" s="24">
        <f>ROUND(F30*AP30,2)</f>
        <v>0</v>
      </c>
      <c r="AY30" s="26" t="s">
        <v>93</v>
      </c>
      <c r="AZ30" s="26" t="s">
        <v>93</v>
      </c>
      <c r="BA30" s="10" t="s">
        <v>57</v>
      </c>
      <c r="BC30" s="24">
        <f>AW30+AX30</f>
        <v>0</v>
      </c>
      <c r="BD30" s="24">
        <f>G30/(100-BE30)*100</f>
        <v>0</v>
      </c>
      <c r="BE30" s="24">
        <v>0</v>
      </c>
      <c r="BF30" s="24">
        <f>30</f>
        <v>30</v>
      </c>
      <c r="BH30" s="24">
        <f>F30*AO30</f>
        <v>0</v>
      </c>
      <c r="BI30" s="24">
        <f>F30*AP30</f>
        <v>0</v>
      </c>
      <c r="BJ30" s="24">
        <f>F30*G30</f>
        <v>0</v>
      </c>
      <c r="BK30" s="26" t="s">
        <v>58</v>
      </c>
      <c r="BL30" s="24">
        <v>27</v>
      </c>
      <c r="BW30" s="24">
        <v>21</v>
      </c>
      <c r="BX30" s="4" t="s">
        <v>98</v>
      </c>
    </row>
    <row r="31" spans="1:76" x14ac:dyDescent="0.25">
      <c r="A31" s="27"/>
      <c r="C31" s="28" t="s">
        <v>99</v>
      </c>
      <c r="D31" s="28" t="s">
        <v>100</v>
      </c>
      <c r="F31" s="29">
        <v>9.1</v>
      </c>
      <c r="K31" s="30"/>
    </row>
    <row r="32" spans="1:76" x14ac:dyDescent="0.25">
      <c r="A32" s="2" t="s">
        <v>101</v>
      </c>
      <c r="B32" s="3" t="s">
        <v>102</v>
      </c>
      <c r="C32" s="109" t="s">
        <v>103</v>
      </c>
      <c r="D32" s="106"/>
      <c r="E32" s="3" t="s">
        <v>104</v>
      </c>
      <c r="F32" s="24">
        <v>0.24</v>
      </c>
      <c r="G32" s="24">
        <v>0</v>
      </c>
      <c r="H32" s="24">
        <f>ROUND(F32*AO32,2)</f>
        <v>0</v>
      </c>
      <c r="I32" s="24">
        <f>ROUND(F32*AP32,2)</f>
        <v>0</v>
      </c>
      <c r="J32" s="24">
        <f>ROUND(F32*G32,2)</f>
        <v>0</v>
      </c>
      <c r="K32" s="25" t="s">
        <v>55</v>
      </c>
      <c r="Z32" s="24">
        <f>ROUND(IF(AQ32="5",BJ32,0),2)</f>
        <v>0</v>
      </c>
      <c r="AB32" s="24">
        <f>ROUND(IF(AQ32="1",BH32,0),2)</f>
        <v>0</v>
      </c>
      <c r="AC32" s="24">
        <f>ROUND(IF(AQ32="1",BI32,0),2)</f>
        <v>0</v>
      </c>
      <c r="AD32" s="24">
        <f>ROUND(IF(AQ32="7",BH32,0),2)</f>
        <v>0</v>
      </c>
      <c r="AE32" s="24">
        <f>ROUND(IF(AQ32="7",BI32,0),2)</f>
        <v>0</v>
      </c>
      <c r="AF32" s="24">
        <f>ROUND(IF(AQ32="2",BH32,0),2)</f>
        <v>0</v>
      </c>
      <c r="AG32" s="24">
        <f>ROUND(IF(AQ32="2",BI32,0),2)</f>
        <v>0</v>
      </c>
      <c r="AH32" s="24">
        <f>ROUND(IF(AQ32="0",BJ32,0),2)</f>
        <v>0</v>
      </c>
      <c r="AI32" s="10" t="s">
        <v>48</v>
      </c>
      <c r="AJ32" s="24">
        <f>IF(AN32=0,J32,0)</f>
        <v>0</v>
      </c>
      <c r="AK32" s="24">
        <f>IF(AN32=12,J32,0)</f>
        <v>0</v>
      </c>
      <c r="AL32" s="24">
        <f>IF(AN32=21,J32,0)</f>
        <v>0</v>
      </c>
      <c r="AN32" s="24">
        <v>21</v>
      </c>
      <c r="AO32" s="24">
        <f>G32*0.699669212</f>
        <v>0</v>
      </c>
      <c r="AP32" s="24">
        <f>G32*(1-0.699669212)</f>
        <v>0</v>
      </c>
      <c r="AQ32" s="26" t="s">
        <v>51</v>
      </c>
      <c r="AV32" s="24">
        <f>ROUND(AW32+AX32,2)</f>
        <v>0</v>
      </c>
      <c r="AW32" s="24">
        <f>ROUND(F32*AO32,2)</f>
        <v>0</v>
      </c>
      <c r="AX32" s="24">
        <f>ROUND(F32*AP32,2)</f>
        <v>0</v>
      </c>
      <c r="AY32" s="26" t="s">
        <v>93</v>
      </c>
      <c r="AZ32" s="26" t="s">
        <v>93</v>
      </c>
      <c r="BA32" s="10" t="s">
        <v>57</v>
      </c>
      <c r="BC32" s="24">
        <f>AW32+AX32</f>
        <v>0</v>
      </c>
      <c r="BD32" s="24">
        <f>G32/(100-BE32)*100</f>
        <v>0</v>
      </c>
      <c r="BE32" s="24">
        <v>0</v>
      </c>
      <c r="BF32" s="24">
        <f>32</f>
        <v>32</v>
      </c>
      <c r="BH32" s="24">
        <f>F32*AO32</f>
        <v>0</v>
      </c>
      <c r="BI32" s="24">
        <f>F32*AP32</f>
        <v>0</v>
      </c>
      <c r="BJ32" s="24">
        <f>F32*G32</f>
        <v>0</v>
      </c>
      <c r="BK32" s="26" t="s">
        <v>58</v>
      </c>
      <c r="BL32" s="24">
        <v>27</v>
      </c>
      <c r="BW32" s="24">
        <v>21</v>
      </c>
      <c r="BX32" s="4" t="s">
        <v>103</v>
      </c>
    </row>
    <row r="33" spans="1:76" x14ac:dyDescent="0.25">
      <c r="A33" s="27"/>
      <c r="C33" s="28" t="s">
        <v>105</v>
      </c>
      <c r="D33" s="28" t="s">
        <v>106</v>
      </c>
      <c r="F33" s="29">
        <v>0.24</v>
      </c>
      <c r="K33" s="30"/>
    </row>
    <row r="34" spans="1:76" x14ac:dyDescent="0.25">
      <c r="A34" s="2" t="s">
        <v>107</v>
      </c>
      <c r="B34" s="3" t="s">
        <v>108</v>
      </c>
      <c r="C34" s="109" t="s">
        <v>109</v>
      </c>
      <c r="D34" s="106"/>
      <c r="E34" s="3" t="s">
        <v>104</v>
      </c>
      <c r="F34" s="24">
        <v>0.76</v>
      </c>
      <c r="G34" s="24">
        <v>0</v>
      </c>
      <c r="H34" s="24">
        <f>ROUND(F34*AO34,2)</f>
        <v>0</v>
      </c>
      <c r="I34" s="24">
        <f>ROUND(F34*AP34,2)</f>
        <v>0</v>
      </c>
      <c r="J34" s="24">
        <f>ROUND(F34*G34,2)</f>
        <v>0</v>
      </c>
      <c r="K34" s="25" t="s">
        <v>55</v>
      </c>
      <c r="Z34" s="24">
        <f>ROUND(IF(AQ34="5",BJ34,0),2)</f>
        <v>0</v>
      </c>
      <c r="AB34" s="24">
        <f>ROUND(IF(AQ34="1",BH34,0),2)</f>
        <v>0</v>
      </c>
      <c r="AC34" s="24">
        <f>ROUND(IF(AQ34="1",BI34,0),2)</f>
        <v>0</v>
      </c>
      <c r="AD34" s="24">
        <f>ROUND(IF(AQ34="7",BH34,0),2)</f>
        <v>0</v>
      </c>
      <c r="AE34" s="24">
        <f>ROUND(IF(AQ34="7",BI34,0),2)</f>
        <v>0</v>
      </c>
      <c r="AF34" s="24">
        <f>ROUND(IF(AQ34="2",BH34,0),2)</f>
        <v>0</v>
      </c>
      <c r="AG34" s="24">
        <f>ROUND(IF(AQ34="2",BI34,0),2)</f>
        <v>0</v>
      </c>
      <c r="AH34" s="24">
        <f>ROUND(IF(AQ34="0",BJ34,0),2)</f>
        <v>0</v>
      </c>
      <c r="AI34" s="10" t="s">
        <v>48</v>
      </c>
      <c r="AJ34" s="24">
        <f>IF(AN34=0,J34,0)</f>
        <v>0</v>
      </c>
      <c r="AK34" s="24">
        <f>IF(AN34=12,J34,0)</f>
        <v>0</v>
      </c>
      <c r="AL34" s="24">
        <f>IF(AN34=21,J34,0)</f>
        <v>0</v>
      </c>
      <c r="AN34" s="24">
        <v>21</v>
      </c>
      <c r="AO34" s="24">
        <f>G34*0.758225745</f>
        <v>0</v>
      </c>
      <c r="AP34" s="24">
        <f>G34*(1-0.758225745)</f>
        <v>0</v>
      </c>
      <c r="AQ34" s="26" t="s">
        <v>51</v>
      </c>
      <c r="AV34" s="24">
        <f>ROUND(AW34+AX34,2)</f>
        <v>0</v>
      </c>
      <c r="AW34" s="24">
        <f>ROUND(F34*AO34,2)</f>
        <v>0</v>
      </c>
      <c r="AX34" s="24">
        <f>ROUND(F34*AP34,2)</f>
        <v>0</v>
      </c>
      <c r="AY34" s="26" t="s">
        <v>93</v>
      </c>
      <c r="AZ34" s="26" t="s">
        <v>93</v>
      </c>
      <c r="BA34" s="10" t="s">
        <v>57</v>
      </c>
      <c r="BC34" s="24">
        <f>AW34+AX34</f>
        <v>0</v>
      </c>
      <c r="BD34" s="24">
        <f>G34/(100-BE34)*100</f>
        <v>0</v>
      </c>
      <c r="BE34" s="24">
        <v>0</v>
      </c>
      <c r="BF34" s="24">
        <f>34</f>
        <v>34</v>
      </c>
      <c r="BH34" s="24">
        <f>F34*AO34</f>
        <v>0</v>
      </c>
      <c r="BI34" s="24">
        <f>F34*AP34</f>
        <v>0</v>
      </c>
      <c r="BJ34" s="24">
        <f>F34*G34</f>
        <v>0</v>
      </c>
      <c r="BK34" s="26" t="s">
        <v>58</v>
      </c>
      <c r="BL34" s="24">
        <v>27</v>
      </c>
      <c r="BW34" s="24">
        <v>21</v>
      </c>
      <c r="BX34" s="4" t="s">
        <v>109</v>
      </c>
    </row>
    <row r="35" spans="1:76" x14ac:dyDescent="0.25">
      <c r="A35" s="27"/>
      <c r="C35" s="28" t="s">
        <v>110</v>
      </c>
      <c r="D35" s="28" t="s">
        <v>106</v>
      </c>
      <c r="F35" s="29">
        <v>0.76</v>
      </c>
      <c r="K35" s="30"/>
    </row>
    <row r="36" spans="1:76" x14ac:dyDescent="0.25">
      <c r="A36" s="2" t="s">
        <v>111</v>
      </c>
      <c r="B36" s="3" t="s">
        <v>112</v>
      </c>
      <c r="C36" s="109" t="s">
        <v>113</v>
      </c>
      <c r="D36" s="106"/>
      <c r="E36" s="3" t="s">
        <v>54</v>
      </c>
      <c r="F36" s="24">
        <v>8.17</v>
      </c>
      <c r="G36" s="24">
        <v>0</v>
      </c>
      <c r="H36" s="24">
        <f>ROUND(F36*AO36,2)</f>
        <v>0</v>
      </c>
      <c r="I36" s="24">
        <f>ROUND(F36*AP36,2)</f>
        <v>0</v>
      </c>
      <c r="J36" s="24">
        <f>ROUND(F36*G36,2)</f>
        <v>0</v>
      </c>
      <c r="K36" s="25" t="s">
        <v>55</v>
      </c>
      <c r="Z36" s="24">
        <f>ROUND(IF(AQ36="5",BJ36,0),2)</f>
        <v>0</v>
      </c>
      <c r="AB36" s="24">
        <f>ROUND(IF(AQ36="1",BH36,0),2)</f>
        <v>0</v>
      </c>
      <c r="AC36" s="24">
        <f>ROUND(IF(AQ36="1",BI36,0),2)</f>
        <v>0</v>
      </c>
      <c r="AD36" s="24">
        <f>ROUND(IF(AQ36="7",BH36,0),2)</f>
        <v>0</v>
      </c>
      <c r="AE36" s="24">
        <f>ROUND(IF(AQ36="7",BI36,0),2)</f>
        <v>0</v>
      </c>
      <c r="AF36" s="24">
        <f>ROUND(IF(AQ36="2",BH36,0),2)</f>
        <v>0</v>
      </c>
      <c r="AG36" s="24">
        <f>ROUND(IF(AQ36="2",BI36,0),2)</f>
        <v>0</v>
      </c>
      <c r="AH36" s="24">
        <f>ROUND(IF(AQ36="0",BJ36,0),2)</f>
        <v>0</v>
      </c>
      <c r="AI36" s="10" t="s">
        <v>48</v>
      </c>
      <c r="AJ36" s="24">
        <f>IF(AN36=0,J36,0)</f>
        <v>0</v>
      </c>
      <c r="AK36" s="24">
        <f>IF(AN36=12,J36,0)</f>
        <v>0</v>
      </c>
      <c r="AL36" s="24">
        <f>IF(AN36=21,J36,0)</f>
        <v>0</v>
      </c>
      <c r="AN36" s="24">
        <v>21</v>
      </c>
      <c r="AO36" s="24">
        <f>G36*0.900310231</f>
        <v>0</v>
      </c>
      <c r="AP36" s="24">
        <f>G36*(1-0.900310231)</f>
        <v>0</v>
      </c>
      <c r="AQ36" s="26" t="s">
        <v>51</v>
      </c>
      <c r="AV36" s="24">
        <f>ROUND(AW36+AX36,2)</f>
        <v>0</v>
      </c>
      <c r="AW36" s="24">
        <f>ROUND(F36*AO36,2)</f>
        <v>0</v>
      </c>
      <c r="AX36" s="24">
        <f>ROUND(F36*AP36,2)</f>
        <v>0</v>
      </c>
      <c r="AY36" s="26" t="s">
        <v>93</v>
      </c>
      <c r="AZ36" s="26" t="s">
        <v>93</v>
      </c>
      <c r="BA36" s="10" t="s">
        <v>57</v>
      </c>
      <c r="BC36" s="24">
        <f>AW36+AX36</f>
        <v>0</v>
      </c>
      <c r="BD36" s="24">
        <f>G36/(100-BE36)*100</f>
        <v>0</v>
      </c>
      <c r="BE36" s="24">
        <v>0</v>
      </c>
      <c r="BF36" s="24">
        <f>36</f>
        <v>36</v>
      </c>
      <c r="BH36" s="24">
        <f>F36*AO36</f>
        <v>0</v>
      </c>
      <c r="BI36" s="24">
        <f>F36*AP36</f>
        <v>0</v>
      </c>
      <c r="BJ36" s="24">
        <f>F36*G36</f>
        <v>0</v>
      </c>
      <c r="BK36" s="26" t="s">
        <v>58</v>
      </c>
      <c r="BL36" s="24">
        <v>27</v>
      </c>
      <c r="BW36" s="24">
        <v>21</v>
      </c>
      <c r="BX36" s="4" t="s">
        <v>113</v>
      </c>
    </row>
    <row r="37" spans="1:76" x14ac:dyDescent="0.25">
      <c r="A37" s="27"/>
      <c r="C37" s="28" t="s">
        <v>114</v>
      </c>
      <c r="D37" s="28" t="s">
        <v>48</v>
      </c>
      <c r="F37" s="29">
        <v>9.6999999999999993</v>
      </c>
      <c r="K37" s="30"/>
    </row>
    <row r="38" spans="1:76" x14ac:dyDescent="0.25">
      <c r="A38" s="27"/>
      <c r="C38" s="28" t="s">
        <v>115</v>
      </c>
      <c r="D38" s="28" t="s">
        <v>116</v>
      </c>
      <c r="F38" s="29">
        <v>-1.53</v>
      </c>
      <c r="K38" s="30"/>
    </row>
    <row r="39" spans="1:76" x14ac:dyDescent="0.25">
      <c r="A39" s="2" t="s">
        <v>117</v>
      </c>
      <c r="B39" s="3" t="s">
        <v>118</v>
      </c>
      <c r="C39" s="109" t="s">
        <v>119</v>
      </c>
      <c r="D39" s="106"/>
      <c r="E39" s="3" t="s">
        <v>84</v>
      </c>
      <c r="F39" s="24">
        <v>68.599999999999994</v>
      </c>
      <c r="G39" s="24">
        <v>0</v>
      </c>
      <c r="H39" s="24">
        <f>ROUND(F39*AO39,2)</f>
        <v>0</v>
      </c>
      <c r="I39" s="24">
        <f>ROUND(F39*AP39,2)</f>
        <v>0</v>
      </c>
      <c r="J39" s="24">
        <f>ROUND(F39*G39,2)</f>
        <v>0</v>
      </c>
      <c r="K39" s="25" t="s">
        <v>55</v>
      </c>
      <c r="Z39" s="24">
        <f>ROUND(IF(AQ39="5",BJ39,0),2)</f>
        <v>0</v>
      </c>
      <c r="AB39" s="24">
        <f>ROUND(IF(AQ39="1",BH39,0),2)</f>
        <v>0</v>
      </c>
      <c r="AC39" s="24">
        <f>ROUND(IF(AQ39="1",BI39,0),2)</f>
        <v>0</v>
      </c>
      <c r="AD39" s="24">
        <f>ROUND(IF(AQ39="7",BH39,0),2)</f>
        <v>0</v>
      </c>
      <c r="AE39" s="24">
        <f>ROUND(IF(AQ39="7",BI39,0),2)</f>
        <v>0</v>
      </c>
      <c r="AF39" s="24">
        <f>ROUND(IF(AQ39="2",BH39,0),2)</f>
        <v>0</v>
      </c>
      <c r="AG39" s="24">
        <f>ROUND(IF(AQ39="2",BI39,0),2)</f>
        <v>0</v>
      </c>
      <c r="AH39" s="24">
        <f>ROUND(IF(AQ39="0",BJ39,0),2)</f>
        <v>0</v>
      </c>
      <c r="AI39" s="10" t="s">
        <v>48</v>
      </c>
      <c r="AJ39" s="24">
        <f>IF(AN39=0,J39,0)</f>
        <v>0</v>
      </c>
      <c r="AK39" s="24">
        <f>IF(AN39=12,J39,0)</f>
        <v>0</v>
      </c>
      <c r="AL39" s="24">
        <f>IF(AN39=21,J39,0)</f>
        <v>0</v>
      </c>
      <c r="AN39" s="24">
        <v>21</v>
      </c>
      <c r="AO39" s="24">
        <f>G39*0.489769769</f>
        <v>0</v>
      </c>
      <c r="AP39" s="24">
        <f>G39*(1-0.489769769)</f>
        <v>0</v>
      </c>
      <c r="AQ39" s="26" t="s">
        <v>51</v>
      </c>
      <c r="AV39" s="24">
        <f>ROUND(AW39+AX39,2)</f>
        <v>0</v>
      </c>
      <c r="AW39" s="24">
        <f>ROUND(F39*AO39,2)</f>
        <v>0</v>
      </c>
      <c r="AX39" s="24">
        <f>ROUND(F39*AP39,2)</f>
        <v>0</v>
      </c>
      <c r="AY39" s="26" t="s">
        <v>93</v>
      </c>
      <c r="AZ39" s="26" t="s">
        <v>93</v>
      </c>
      <c r="BA39" s="10" t="s">
        <v>57</v>
      </c>
      <c r="BC39" s="24">
        <f>AW39+AX39</f>
        <v>0</v>
      </c>
      <c r="BD39" s="24">
        <f>G39/(100-BE39)*100</f>
        <v>0</v>
      </c>
      <c r="BE39" s="24">
        <v>0</v>
      </c>
      <c r="BF39" s="24">
        <f>39</f>
        <v>39</v>
      </c>
      <c r="BH39" s="24">
        <f>F39*AO39</f>
        <v>0</v>
      </c>
      <c r="BI39" s="24">
        <f>F39*AP39</f>
        <v>0</v>
      </c>
      <c r="BJ39" s="24">
        <f>F39*G39</f>
        <v>0</v>
      </c>
      <c r="BK39" s="26" t="s">
        <v>58</v>
      </c>
      <c r="BL39" s="24">
        <v>27</v>
      </c>
      <c r="BW39" s="24">
        <v>21</v>
      </c>
      <c r="BX39" s="4" t="s">
        <v>119</v>
      </c>
    </row>
    <row r="40" spans="1:76" x14ac:dyDescent="0.25">
      <c r="A40" s="27"/>
      <c r="C40" s="28" t="s">
        <v>120</v>
      </c>
      <c r="D40" s="28" t="s">
        <v>121</v>
      </c>
      <c r="F40" s="29">
        <v>64.67</v>
      </c>
      <c r="K40" s="30"/>
    </row>
    <row r="41" spans="1:76" x14ac:dyDescent="0.25">
      <c r="A41" s="27"/>
      <c r="C41" s="28" t="s">
        <v>122</v>
      </c>
      <c r="D41" s="28" t="s">
        <v>123</v>
      </c>
      <c r="F41" s="29">
        <v>3.93</v>
      </c>
      <c r="K41" s="30"/>
    </row>
    <row r="42" spans="1:76" x14ac:dyDescent="0.25">
      <c r="A42" s="2" t="s">
        <v>49</v>
      </c>
      <c r="B42" s="3" t="s">
        <v>124</v>
      </c>
      <c r="C42" s="109" t="s">
        <v>125</v>
      </c>
      <c r="D42" s="106"/>
      <c r="E42" s="3" t="s">
        <v>84</v>
      </c>
      <c r="F42" s="24">
        <v>68.599999999999994</v>
      </c>
      <c r="G42" s="24">
        <v>0</v>
      </c>
      <c r="H42" s="24">
        <f>ROUND(F42*AO42,2)</f>
        <v>0</v>
      </c>
      <c r="I42" s="24">
        <f>ROUND(F42*AP42,2)</f>
        <v>0</v>
      </c>
      <c r="J42" s="24">
        <f>ROUND(F42*G42,2)</f>
        <v>0</v>
      </c>
      <c r="K42" s="25" t="s">
        <v>55</v>
      </c>
      <c r="Z42" s="24">
        <f>ROUND(IF(AQ42="5",BJ42,0),2)</f>
        <v>0</v>
      </c>
      <c r="AB42" s="24">
        <f>ROUND(IF(AQ42="1",BH42,0),2)</f>
        <v>0</v>
      </c>
      <c r="AC42" s="24">
        <f>ROUND(IF(AQ42="1",BI42,0),2)</f>
        <v>0</v>
      </c>
      <c r="AD42" s="24">
        <f>ROUND(IF(AQ42="7",BH42,0),2)</f>
        <v>0</v>
      </c>
      <c r="AE42" s="24">
        <f>ROUND(IF(AQ42="7",BI42,0),2)</f>
        <v>0</v>
      </c>
      <c r="AF42" s="24">
        <f>ROUND(IF(AQ42="2",BH42,0),2)</f>
        <v>0</v>
      </c>
      <c r="AG42" s="24">
        <f>ROUND(IF(AQ42="2",BI42,0),2)</f>
        <v>0</v>
      </c>
      <c r="AH42" s="24">
        <f>ROUND(IF(AQ42="0",BJ42,0),2)</f>
        <v>0</v>
      </c>
      <c r="AI42" s="10" t="s">
        <v>48</v>
      </c>
      <c r="AJ42" s="24">
        <f>IF(AN42=0,J42,0)</f>
        <v>0</v>
      </c>
      <c r="AK42" s="24">
        <f>IF(AN42=12,J42,0)</f>
        <v>0</v>
      </c>
      <c r="AL42" s="24">
        <f>IF(AN42=21,J42,0)</f>
        <v>0</v>
      </c>
      <c r="AN42" s="24">
        <v>21</v>
      </c>
      <c r="AO42" s="24">
        <f>G42*0</f>
        <v>0</v>
      </c>
      <c r="AP42" s="24">
        <f>G42*(1-0)</f>
        <v>0</v>
      </c>
      <c r="AQ42" s="26" t="s">
        <v>51</v>
      </c>
      <c r="AV42" s="24">
        <f>ROUND(AW42+AX42,2)</f>
        <v>0</v>
      </c>
      <c r="AW42" s="24">
        <f>ROUND(F42*AO42,2)</f>
        <v>0</v>
      </c>
      <c r="AX42" s="24">
        <f>ROUND(F42*AP42,2)</f>
        <v>0</v>
      </c>
      <c r="AY42" s="26" t="s">
        <v>93</v>
      </c>
      <c r="AZ42" s="26" t="s">
        <v>93</v>
      </c>
      <c r="BA42" s="10" t="s">
        <v>57</v>
      </c>
      <c r="BC42" s="24">
        <f>AW42+AX42</f>
        <v>0</v>
      </c>
      <c r="BD42" s="24">
        <f>G42/(100-BE42)*100</f>
        <v>0</v>
      </c>
      <c r="BE42" s="24">
        <v>0</v>
      </c>
      <c r="BF42" s="24">
        <f>42</f>
        <v>42</v>
      </c>
      <c r="BH42" s="24">
        <f>F42*AO42</f>
        <v>0</v>
      </c>
      <c r="BI42" s="24">
        <f>F42*AP42</f>
        <v>0</v>
      </c>
      <c r="BJ42" s="24">
        <f>F42*G42</f>
        <v>0</v>
      </c>
      <c r="BK42" s="26" t="s">
        <v>58</v>
      </c>
      <c r="BL42" s="24">
        <v>27</v>
      </c>
      <c r="BW42" s="24">
        <v>21</v>
      </c>
      <c r="BX42" s="4" t="s">
        <v>125</v>
      </c>
    </row>
    <row r="43" spans="1:76" x14ac:dyDescent="0.25">
      <c r="A43" s="2" t="s">
        <v>126</v>
      </c>
      <c r="B43" s="3" t="s">
        <v>127</v>
      </c>
      <c r="C43" s="109" t="s">
        <v>128</v>
      </c>
      <c r="D43" s="106"/>
      <c r="E43" s="3" t="s">
        <v>104</v>
      </c>
      <c r="F43" s="24">
        <v>1.1599999999999999</v>
      </c>
      <c r="G43" s="24">
        <v>0</v>
      </c>
      <c r="H43" s="24">
        <f>ROUND(F43*AO43,2)</f>
        <v>0</v>
      </c>
      <c r="I43" s="24">
        <f>ROUND(F43*AP43,2)</f>
        <v>0</v>
      </c>
      <c r="J43" s="24">
        <f>ROUND(F43*G43,2)</f>
        <v>0</v>
      </c>
      <c r="K43" s="25" t="s">
        <v>55</v>
      </c>
      <c r="Z43" s="24">
        <f>ROUND(IF(AQ43="5",BJ43,0),2)</f>
        <v>0</v>
      </c>
      <c r="AB43" s="24">
        <f>ROUND(IF(AQ43="1",BH43,0),2)</f>
        <v>0</v>
      </c>
      <c r="AC43" s="24">
        <f>ROUND(IF(AQ43="1",BI43,0),2)</f>
        <v>0</v>
      </c>
      <c r="AD43" s="24">
        <f>ROUND(IF(AQ43="7",BH43,0),2)</f>
        <v>0</v>
      </c>
      <c r="AE43" s="24">
        <f>ROUND(IF(AQ43="7",BI43,0),2)</f>
        <v>0</v>
      </c>
      <c r="AF43" s="24">
        <f>ROUND(IF(AQ43="2",BH43,0),2)</f>
        <v>0</v>
      </c>
      <c r="AG43" s="24">
        <f>ROUND(IF(AQ43="2",BI43,0),2)</f>
        <v>0</v>
      </c>
      <c r="AH43" s="24">
        <f>ROUND(IF(AQ43="0",BJ43,0),2)</f>
        <v>0</v>
      </c>
      <c r="AI43" s="10" t="s">
        <v>48</v>
      </c>
      <c r="AJ43" s="24">
        <f>IF(AN43=0,J43,0)</f>
        <v>0</v>
      </c>
      <c r="AK43" s="24">
        <f>IF(AN43=12,J43,0)</f>
        <v>0</v>
      </c>
      <c r="AL43" s="24">
        <f>IF(AN43=21,J43,0)</f>
        <v>0</v>
      </c>
      <c r="AN43" s="24">
        <v>21</v>
      </c>
      <c r="AO43" s="24">
        <f>G43*0.651572423</f>
        <v>0</v>
      </c>
      <c r="AP43" s="24">
        <f>G43*(1-0.651572423)</f>
        <v>0</v>
      </c>
      <c r="AQ43" s="26" t="s">
        <v>51</v>
      </c>
      <c r="AV43" s="24">
        <f>ROUND(AW43+AX43,2)</f>
        <v>0</v>
      </c>
      <c r="AW43" s="24">
        <f>ROUND(F43*AO43,2)</f>
        <v>0</v>
      </c>
      <c r="AX43" s="24">
        <f>ROUND(F43*AP43,2)</f>
        <v>0</v>
      </c>
      <c r="AY43" s="26" t="s">
        <v>93</v>
      </c>
      <c r="AZ43" s="26" t="s">
        <v>93</v>
      </c>
      <c r="BA43" s="10" t="s">
        <v>57</v>
      </c>
      <c r="BC43" s="24">
        <f>AW43+AX43</f>
        <v>0</v>
      </c>
      <c r="BD43" s="24">
        <f>G43/(100-BE43)*100</f>
        <v>0</v>
      </c>
      <c r="BE43" s="24">
        <v>0</v>
      </c>
      <c r="BF43" s="24">
        <f>43</f>
        <v>43</v>
      </c>
      <c r="BH43" s="24">
        <f>F43*AO43</f>
        <v>0</v>
      </c>
      <c r="BI43" s="24">
        <f>F43*AP43</f>
        <v>0</v>
      </c>
      <c r="BJ43" s="24">
        <f>F43*G43</f>
        <v>0</v>
      </c>
      <c r="BK43" s="26" t="s">
        <v>58</v>
      </c>
      <c r="BL43" s="24">
        <v>27</v>
      </c>
      <c r="BW43" s="24">
        <v>21</v>
      </c>
      <c r="BX43" s="4" t="s">
        <v>128</v>
      </c>
    </row>
    <row r="44" spans="1:76" x14ac:dyDescent="0.25">
      <c r="A44" s="27"/>
      <c r="C44" s="28" t="s">
        <v>129</v>
      </c>
      <c r="D44" s="28" t="s">
        <v>106</v>
      </c>
      <c r="F44" s="29">
        <v>1.1599999999999999</v>
      </c>
      <c r="K44" s="30"/>
    </row>
    <row r="45" spans="1:76" x14ac:dyDescent="0.25">
      <c r="A45" s="2" t="s">
        <v>130</v>
      </c>
      <c r="B45" s="3" t="s">
        <v>131</v>
      </c>
      <c r="C45" s="109" t="s">
        <v>132</v>
      </c>
      <c r="D45" s="106"/>
      <c r="E45" s="3" t="s">
        <v>54</v>
      </c>
      <c r="F45" s="24">
        <v>0.01</v>
      </c>
      <c r="G45" s="24">
        <v>0</v>
      </c>
      <c r="H45" s="24">
        <f>ROUND(F45*AO45,2)</f>
        <v>0</v>
      </c>
      <c r="I45" s="24">
        <f>ROUND(F45*AP45,2)</f>
        <v>0</v>
      </c>
      <c r="J45" s="24">
        <f>ROUND(F45*G45,2)</f>
        <v>0</v>
      </c>
      <c r="K45" s="25" t="s">
        <v>55</v>
      </c>
      <c r="Z45" s="24">
        <f>ROUND(IF(AQ45="5",BJ45,0),2)</f>
        <v>0</v>
      </c>
      <c r="AB45" s="24">
        <f>ROUND(IF(AQ45="1",BH45,0),2)</f>
        <v>0</v>
      </c>
      <c r="AC45" s="24">
        <f>ROUND(IF(AQ45="1",BI45,0),2)</f>
        <v>0</v>
      </c>
      <c r="AD45" s="24">
        <f>ROUND(IF(AQ45="7",BH45,0),2)</f>
        <v>0</v>
      </c>
      <c r="AE45" s="24">
        <f>ROUND(IF(AQ45="7",BI45,0),2)</f>
        <v>0</v>
      </c>
      <c r="AF45" s="24">
        <f>ROUND(IF(AQ45="2",BH45,0),2)</f>
        <v>0</v>
      </c>
      <c r="AG45" s="24">
        <f>ROUND(IF(AQ45="2",BI45,0),2)</f>
        <v>0</v>
      </c>
      <c r="AH45" s="24">
        <f>ROUND(IF(AQ45="0",BJ45,0),2)</f>
        <v>0</v>
      </c>
      <c r="AI45" s="10" t="s">
        <v>48</v>
      </c>
      <c r="AJ45" s="24">
        <f>IF(AN45=0,J45,0)</f>
        <v>0</v>
      </c>
      <c r="AK45" s="24">
        <f>IF(AN45=12,J45,0)</f>
        <v>0</v>
      </c>
      <c r="AL45" s="24">
        <f>IF(AN45=21,J45,0)</f>
        <v>0</v>
      </c>
      <c r="AN45" s="24">
        <v>21</v>
      </c>
      <c r="AO45" s="24">
        <f>G45*0.482914881</f>
        <v>0</v>
      </c>
      <c r="AP45" s="24">
        <f>G45*(1-0.482914881)</f>
        <v>0</v>
      </c>
      <c r="AQ45" s="26" t="s">
        <v>51</v>
      </c>
      <c r="AV45" s="24">
        <f>ROUND(AW45+AX45,2)</f>
        <v>0</v>
      </c>
      <c r="AW45" s="24">
        <f>ROUND(F45*AO45,2)</f>
        <v>0</v>
      </c>
      <c r="AX45" s="24">
        <f>ROUND(F45*AP45,2)</f>
        <v>0</v>
      </c>
      <c r="AY45" s="26" t="s">
        <v>93</v>
      </c>
      <c r="AZ45" s="26" t="s">
        <v>93</v>
      </c>
      <c r="BA45" s="10" t="s">
        <v>57</v>
      </c>
      <c r="BC45" s="24">
        <f>AW45+AX45</f>
        <v>0</v>
      </c>
      <c r="BD45" s="24">
        <f>G45/(100-BE45)*100</f>
        <v>0</v>
      </c>
      <c r="BE45" s="24">
        <v>0</v>
      </c>
      <c r="BF45" s="24">
        <f>45</f>
        <v>45</v>
      </c>
      <c r="BH45" s="24">
        <f>F45*AO45</f>
        <v>0</v>
      </c>
      <c r="BI45" s="24">
        <f>F45*AP45</f>
        <v>0</v>
      </c>
      <c r="BJ45" s="24">
        <f>F45*G45</f>
        <v>0</v>
      </c>
      <c r="BK45" s="26" t="s">
        <v>58</v>
      </c>
      <c r="BL45" s="24">
        <v>27</v>
      </c>
      <c r="BW45" s="24">
        <v>21</v>
      </c>
      <c r="BX45" s="4" t="s">
        <v>132</v>
      </c>
    </row>
    <row r="46" spans="1:76" x14ac:dyDescent="0.25">
      <c r="A46" s="27"/>
      <c r="C46" s="28" t="s">
        <v>133</v>
      </c>
      <c r="D46" s="28" t="s">
        <v>134</v>
      </c>
      <c r="F46" s="29">
        <v>0.01</v>
      </c>
      <c r="K46" s="30"/>
    </row>
    <row r="47" spans="1:76" x14ac:dyDescent="0.25">
      <c r="A47" s="31" t="s">
        <v>48</v>
      </c>
      <c r="B47" s="32" t="s">
        <v>135</v>
      </c>
      <c r="C47" s="181" t="s">
        <v>136</v>
      </c>
      <c r="D47" s="182"/>
      <c r="E47" s="33" t="s">
        <v>4</v>
      </c>
      <c r="F47" s="33" t="s">
        <v>4</v>
      </c>
      <c r="G47" s="33" t="s">
        <v>4</v>
      </c>
      <c r="H47" s="1">
        <f>ROUND(SUM(H48:H57),2)</f>
        <v>0</v>
      </c>
      <c r="I47" s="1">
        <f>ROUND(SUM(I48:I57),2)</f>
        <v>0</v>
      </c>
      <c r="J47" s="1">
        <f>ROUND(SUM(J48:J57),2)</f>
        <v>0</v>
      </c>
      <c r="K47" s="34" t="s">
        <v>48</v>
      </c>
      <c r="AI47" s="10" t="s">
        <v>48</v>
      </c>
      <c r="AS47" s="1">
        <f>SUM(AJ48:AJ57)</f>
        <v>0</v>
      </c>
      <c r="AT47" s="1">
        <f>SUM(AK48:AK57)</f>
        <v>0</v>
      </c>
      <c r="AU47" s="1">
        <f>SUM(AL48:AL57)</f>
        <v>0</v>
      </c>
    </row>
    <row r="48" spans="1:76" x14ac:dyDescent="0.25">
      <c r="A48" s="2" t="s">
        <v>61</v>
      </c>
      <c r="B48" s="3" t="s">
        <v>137</v>
      </c>
      <c r="C48" s="109" t="s">
        <v>138</v>
      </c>
      <c r="D48" s="106"/>
      <c r="E48" s="3" t="s">
        <v>54</v>
      </c>
      <c r="F48" s="24">
        <v>7.55</v>
      </c>
      <c r="G48" s="24">
        <v>0</v>
      </c>
      <c r="H48" s="24">
        <f>ROUND(F48*AO48,2)</f>
        <v>0</v>
      </c>
      <c r="I48" s="24">
        <f>ROUND(F48*AP48,2)</f>
        <v>0</v>
      </c>
      <c r="J48" s="24">
        <f>ROUND(F48*G48,2)</f>
        <v>0</v>
      </c>
      <c r="K48" s="25" t="s">
        <v>55</v>
      </c>
      <c r="Z48" s="24">
        <f>ROUND(IF(AQ48="5",BJ48,0),2)</f>
        <v>0</v>
      </c>
      <c r="AB48" s="24">
        <f>ROUND(IF(AQ48="1",BH48,0),2)</f>
        <v>0</v>
      </c>
      <c r="AC48" s="24">
        <f>ROUND(IF(AQ48="1",BI48,0),2)</f>
        <v>0</v>
      </c>
      <c r="AD48" s="24">
        <f>ROUND(IF(AQ48="7",BH48,0),2)</f>
        <v>0</v>
      </c>
      <c r="AE48" s="24">
        <f>ROUND(IF(AQ48="7",BI48,0),2)</f>
        <v>0</v>
      </c>
      <c r="AF48" s="24">
        <f>ROUND(IF(AQ48="2",BH48,0),2)</f>
        <v>0</v>
      </c>
      <c r="AG48" s="24">
        <f>ROUND(IF(AQ48="2",BI48,0),2)</f>
        <v>0</v>
      </c>
      <c r="AH48" s="24">
        <f>ROUND(IF(AQ48="0",BJ48,0),2)</f>
        <v>0</v>
      </c>
      <c r="AI48" s="10" t="s">
        <v>48</v>
      </c>
      <c r="AJ48" s="24">
        <f>IF(AN48=0,J48,0)</f>
        <v>0</v>
      </c>
      <c r="AK48" s="24">
        <f>IF(AN48=12,J48,0)</f>
        <v>0</v>
      </c>
      <c r="AL48" s="24">
        <f>IF(AN48=21,J48,0)</f>
        <v>0</v>
      </c>
      <c r="AN48" s="24">
        <v>21</v>
      </c>
      <c r="AO48" s="24">
        <f>G48*0.838452658</f>
        <v>0</v>
      </c>
      <c r="AP48" s="24">
        <f>G48*(1-0.838452658)</f>
        <v>0</v>
      </c>
      <c r="AQ48" s="26" t="s">
        <v>51</v>
      </c>
      <c r="AV48" s="24">
        <f>ROUND(AW48+AX48,2)</f>
        <v>0</v>
      </c>
      <c r="AW48" s="24">
        <f>ROUND(F48*AO48,2)</f>
        <v>0</v>
      </c>
      <c r="AX48" s="24">
        <f>ROUND(F48*AP48,2)</f>
        <v>0</v>
      </c>
      <c r="AY48" s="26" t="s">
        <v>139</v>
      </c>
      <c r="AZ48" s="26" t="s">
        <v>139</v>
      </c>
      <c r="BA48" s="10" t="s">
        <v>57</v>
      </c>
      <c r="BC48" s="24">
        <f>AW48+AX48</f>
        <v>0</v>
      </c>
      <c r="BD48" s="24">
        <f>G48/(100-BE48)*100</f>
        <v>0</v>
      </c>
      <c r="BE48" s="24">
        <v>0</v>
      </c>
      <c r="BF48" s="24">
        <f>48</f>
        <v>48</v>
      </c>
      <c r="BH48" s="24">
        <f>F48*AO48</f>
        <v>0</v>
      </c>
      <c r="BI48" s="24">
        <f>F48*AP48</f>
        <v>0</v>
      </c>
      <c r="BJ48" s="24">
        <f>F48*G48</f>
        <v>0</v>
      </c>
      <c r="BK48" s="26" t="s">
        <v>58</v>
      </c>
      <c r="BL48" s="24">
        <v>41</v>
      </c>
      <c r="BW48" s="24">
        <v>21</v>
      </c>
      <c r="BX48" s="4" t="s">
        <v>138</v>
      </c>
    </row>
    <row r="49" spans="1:76" x14ac:dyDescent="0.25">
      <c r="A49" s="27"/>
      <c r="C49" s="28" t="s">
        <v>140</v>
      </c>
      <c r="D49" s="28" t="s">
        <v>48</v>
      </c>
      <c r="F49" s="29">
        <v>7.55</v>
      </c>
      <c r="K49" s="30"/>
    </row>
    <row r="50" spans="1:76" x14ac:dyDescent="0.25">
      <c r="A50" s="2" t="s">
        <v>141</v>
      </c>
      <c r="B50" s="3" t="s">
        <v>142</v>
      </c>
      <c r="C50" s="109" t="s">
        <v>143</v>
      </c>
      <c r="D50" s="106"/>
      <c r="E50" s="3" t="s">
        <v>84</v>
      </c>
      <c r="F50" s="24">
        <v>32.94</v>
      </c>
      <c r="G50" s="24">
        <v>0</v>
      </c>
      <c r="H50" s="24">
        <f>ROUND(F50*AO50,2)</f>
        <v>0</v>
      </c>
      <c r="I50" s="24">
        <f>ROUND(F50*AP50,2)</f>
        <v>0</v>
      </c>
      <c r="J50" s="24">
        <f>ROUND(F50*G50,2)</f>
        <v>0</v>
      </c>
      <c r="K50" s="25" t="s">
        <v>55</v>
      </c>
      <c r="Z50" s="24">
        <f>ROUND(IF(AQ50="5",BJ50,0),2)</f>
        <v>0</v>
      </c>
      <c r="AB50" s="24">
        <f>ROUND(IF(AQ50="1",BH50,0),2)</f>
        <v>0</v>
      </c>
      <c r="AC50" s="24">
        <f>ROUND(IF(AQ50="1",BI50,0),2)</f>
        <v>0</v>
      </c>
      <c r="AD50" s="24">
        <f>ROUND(IF(AQ50="7",BH50,0),2)</f>
        <v>0</v>
      </c>
      <c r="AE50" s="24">
        <f>ROUND(IF(AQ50="7",BI50,0),2)</f>
        <v>0</v>
      </c>
      <c r="AF50" s="24">
        <f>ROUND(IF(AQ50="2",BH50,0),2)</f>
        <v>0</v>
      </c>
      <c r="AG50" s="24">
        <f>ROUND(IF(AQ50="2",BI50,0),2)</f>
        <v>0</v>
      </c>
      <c r="AH50" s="24">
        <f>ROUND(IF(AQ50="0",BJ50,0),2)</f>
        <v>0</v>
      </c>
      <c r="AI50" s="10" t="s">
        <v>48</v>
      </c>
      <c r="AJ50" s="24">
        <f>IF(AN50=0,J50,0)</f>
        <v>0</v>
      </c>
      <c r="AK50" s="24">
        <f>IF(AN50=12,J50,0)</f>
        <v>0</v>
      </c>
      <c r="AL50" s="24">
        <f>IF(AN50=21,J50,0)</f>
        <v>0</v>
      </c>
      <c r="AN50" s="24">
        <v>21</v>
      </c>
      <c r="AO50" s="24">
        <f>G50*0.406449275</f>
        <v>0</v>
      </c>
      <c r="AP50" s="24">
        <f>G50*(1-0.406449275)</f>
        <v>0</v>
      </c>
      <c r="AQ50" s="26" t="s">
        <v>51</v>
      </c>
      <c r="AV50" s="24">
        <f>ROUND(AW50+AX50,2)</f>
        <v>0</v>
      </c>
      <c r="AW50" s="24">
        <f>ROUND(F50*AO50,2)</f>
        <v>0</v>
      </c>
      <c r="AX50" s="24">
        <f>ROUND(F50*AP50,2)</f>
        <v>0</v>
      </c>
      <c r="AY50" s="26" t="s">
        <v>139</v>
      </c>
      <c r="AZ50" s="26" t="s">
        <v>139</v>
      </c>
      <c r="BA50" s="10" t="s">
        <v>57</v>
      </c>
      <c r="BC50" s="24">
        <f>AW50+AX50</f>
        <v>0</v>
      </c>
      <c r="BD50" s="24">
        <f>G50/(100-BE50)*100</f>
        <v>0</v>
      </c>
      <c r="BE50" s="24">
        <v>0</v>
      </c>
      <c r="BF50" s="24">
        <f>50</f>
        <v>50</v>
      </c>
      <c r="BH50" s="24">
        <f>F50*AO50</f>
        <v>0</v>
      </c>
      <c r="BI50" s="24">
        <f>F50*AP50</f>
        <v>0</v>
      </c>
      <c r="BJ50" s="24">
        <f>F50*G50</f>
        <v>0</v>
      </c>
      <c r="BK50" s="26" t="s">
        <v>58</v>
      </c>
      <c r="BL50" s="24">
        <v>41</v>
      </c>
      <c r="BW50" s="24">
        <v>21</v>
      </c>
      <c r="BX50" s="4" t="s">
        <v>143</v>
      </c>
    </row>
    <row r="51" spans="1:76" x14ac:dyDescent="0.25">
      <c r="A51" s="27"/>
      <c r="C51" s="28" t="s">
        <v>144</v>
      </c>
      <c r="D51" s="28" t="s">
        <v>145</v>
      </c>
      <c r="F51" s="29">
        <v>32.94</v>
      </c>
      <c r="K51" s="30"/>
    </row>
    <row r="52" spans="1:76" x14ac:dyDescent="0.25">
      <c r="A52" s="2" t="s">
        <v>146</v>
      </c>
      <c r="B52" s="3" t="s">
        <v>147</v>
      </c>
      <c r="C52" s="109" t="s">
        <v>148</v>
      </c>
      <c r="D52" s="106"/>
      <c r="E52" s="3" t="s">
        <v>84</v>
      </c>
      <c r="F52" s="24">
        <v>32.94</v>
      </c>
      <c r="G52" s="24">
        <v>0</v>
      </c>
      <c r="H52" s="24">
        <f>ROUND(F52*AO52,2)</f>
        <v>0</v>
      </c>
      <c r="I52" s="24">
        <f>ROUND(F52*AP52,2)</f>
        <v>0</v>
      </c>
      <c r="J52" s="24">
        <f>ROUND(F52*G52,2)</f>
        <v>0</v>
      </c>
      <c r="K52" s="25" t="s">
        <v>55</v>
      </c>
      <c r="Z52" s="24">
        <f>ROUND(IF(AQ52="5",BJ52,0),2)</f>
        <v>0</v>
      </c>
      <c r="AB52" s="24">
        <f>ROUND(IF(AQ52="1",BH52,0),2)</f>
        <v>0</v>
      </c>
      <c r="AC52" s="24">
        <f>ROUND(IF(AQ52="1",BI52,0),2)</f>
        <v>0</v>
      </c>
      <c r="AD52" s="24">
        <f>ROUND(IF(AQ52="7",BH52,0),2)</f>
        <v>0</v>
      </c>
      <c r="AE52" s="24">
        <f>ROUND(IF(AQ52="7",BI52,0),2)</f>
        <v>0</v>
      </c>
      <c r="AF52" s="24">
        <f>ROUND(IF(AQ52="2",BH52,0),2)</f>
        <v>0</v>
      </c>
      <c r="AG52" s="24">
        <f>ROUND(IF(AQ52="2",BI52,0),2)</f>
        <v>0</v>
      </c>
      <c r="AH52" s="24">
        <f>ROUND(IF(AQ52="0",BJ52,0),2)</f>
        <v>0</v>
      </c>
      <c r="AI52" s="10" t="s">
        <v>48</v>
      </c>
      <c r="AJ52" s="24">
        <f>IF(AN52=0,J52,0)</f>
        <v>0</v>
      </c>
      <c r="AK52" s="24">
        <f>IF(AN52=12,J52,0)</f>
        <v>0</v>
      </c>
      <c r="AL52" s="24">
        <f>IF(AN52=21,J52,0)</f>
        <v>0</v>
      </c>
      <c r="AN52" s="24">
        <v>21</v>
      </c>
      <c r="AO52" s="24">
        <f>G52*0</f>
        <v>0</v>
      </c>
      <c r="AP52" s="24">
        <f>G52*(1-0)</f>
        <v>0</v>
      </c>
      <c r="AQ52" s="26" t="s">
        <v>51</v>
      </c>
      <c r="AV52" s="24">
        <f>ROUND(AW52+AX52,2)</f>
        <v>0</v>
      </c>
      <c r="AW52" s="24">
        <f>ROUND(F52*AO52,2)</f>
        <v>0</v>
      </c>
      <c r="AX52" s="24">
        <f>ROUND(F52*AP52,2)</f>
        <v>0</v>
      </c>
      <c r="AY52" s="26" t="s">
        <v>139</v>
      </c>
      <c r="AZ52" s="26" t="s">
        <v>139</v>
      </c>
      <c r="BA52" s="10" t="s">
        <v>57</v>
      </c>
      <c r="BC52" s="24">
        <f>AW52+AX52</f>
        <v>0</v>
      </c>
      <c r="BD52" s="24">
        <f>G52/(100-BE52)*100</f>
        <v>0</v>
      </c>
      <c r="BE52" s="24">
        <v>0</v>
      </c>
      <c r="BF52" s="24">
        <f>52</f>
        <v>52</v>
      </c>
      <c r="BH52" s="24">
        <f>F52*AO52</f>
        <v>0</v>
      </c>
      <c r="BI52" s="24">
        <f>F52*AP52</f>
        <v>0</v>
      </c>
      <c r="BJ52" s="24">
        <f>F52*G52</f>
        <v>0</v>
      </c>
      <c r="BK52" s="26" t="s">
        <v>58</v>
      </c>
      <c r="BL52" s="24">
        <v>41</v>
      </c>
      <c r="BW52" s="24">
        <v>21</v>
      </c>
      <c r="BX52" s="4" t="s">
        <v>148</v>
      </c>
    </row>
    <row r="53" spans="1:76" x14ac:dyDescent="0.25">
      <c r="A53" s="2" t="s">
        <v>149</v>
      </c>
      <c r="B53" s="3" t="s">
        <v>150</v>
      </c>
      <c r="C53" s="109" t="s">
        <v>151</v>
      </c>
      <c r="D53" s="106"/>
      <c r="E53" s="3" t="s">
        <v>152</v>
      </c>
      <c r="F53" s="24">
        <v>6</v>
      </c>
      <c r="G53" s="24">
        <v>0</v>
      </c>
      <c r="H53" s="24">
        <f>ROUND(F53*AO53,2)</f>
        <v>0</v>
      </c>
      <c r="I53" s="24">
        <f>ROUND(F53*AP53,2)</f>
        <v>0</v>
      </c>
      <c r="J53" s="24">
        <f>ROUND(F53*G53,2)</f>
        <v>0</v>
      </c>
      <c r="K53" s="25" t="s">
        <v>55</v>
      </c>
      <c r="Z53" s="24">
        <f>ROUND(IF(AQ53="5",BJ53,0),2)</f>
        <v>0</v>
      </c>
      <c r="AB53" s="24">
        <f>ROUND(IF(AQ53="1",BH53,0),2)</f>
        <v>0</v>
      </c>
      <c r="AC53" s="24">
        <f>ROUND(IF(AQ53="1",BI53,0),2)</f>
        <v>0</v>
      </c>
      <c r="AD53" s="24">
        <f>ROUND(IF(AQ53="7",BH53,0),2)</f>
        <v>0</v>
      </c>
      <c r="AE53" s="24">
        <f>ROUND(IF(AQ53="7",BI53,0),2)</f>
        <v>0</v>
      </c>
      <c r="AF53" s="24">
        <f>ROUND(IF(AQ53="2",BH53,0),2)</f>
        <v>0</v>
      </c>
      <c r="AG53" s="24">
        <f>ROUND(IF(AQ53="2",BI53,0),2)</f>
        <v>0</v>
      </c>
      <c r="AH53" s="24">
        <f>ROUND(IF(AQ53="0",BJ53,0),2)</f>
        <v>0</v>
      </c>
      <c r="AI53" s="10" t="s">
        <v>48</v>
      </c>
      <c r="AJ53" s="24">
        <f>IF(AN53=0,J53,0)</f>
        <v>0</v>
      </c>
      <c r="AK53" s="24">
        <f>IF(AN53=12,J53,0)</f>
        <v>0</v>
      </c>
      <c r="AL53" s="24">
        <f>IF(AN53=21,J53,0)</f>
        <v>0</v>
      </c>
      <c r="AN53" s="24">
        <v>21</v>
      </c>
      <c r="AO53" s="24">
        <f>G53*0.312087058</f>
        <v>0</v>
      </c>
      <c r="AP53" s="24">
        <f>G53*(1-0.312087058)</f>
        <v>0</v>
      </c>
      <c r="AQ53" s="26" t="s">
        <v>51</v>
      </c>
      <c r="AV53" s="24">
        <f>ROUND(AW53+AX53,2)</f>
        <v>0</v>
      </c>
      <c r="AW53" s="24">
        <f>ROUND(F53*AO53,2)</f>
        <v>0</v>
      </c>
      <c r="AX53" s="24">
        <f>ROUND(F53*AP53,2)</f>
        <v>0</v>
      </c>
      <c r="AY53" s="26" t="s">
        <v>139</v>
      </c>
      <c r="AZ53" s="26" t="s">
        <v>139</v>
      </c>
      <c r="BA53" s="10" t="s">
        <v>57</v>
      </c>
      <c r="BC53" s="24">
        <f>AW53+AX53</f>
        <v>0</v>
      </c>
      <c r="BD53" s="24">
        <f>G53/(100-BE53)*100</f>
        <v>0</v>
      </c>
      <c r="BE53" s="24">
        <v>0</v>
      </c>
      <c r="BF53" s="24">
        <f>53</f>
        <v>53</v>
      </c>
      <c r="BH53" s="24">
        <f>F53*AO53</f>
        <v>0</v>
      </c>
      <c r="BI53" s="24">
        <f>F53*AP53</f>
        <v>0</v>
      </c>
      <c r="BJ53" s="24">
        <f>F53*G53</f>
        <v>0</v>
      </c>
      <c r="BK53" s="26" t="s">
        <v>58</v>
      </c>
      <c r="BL53" s="24">
        <v>41</v>
      </c>
      <c r="BW53" s="24">
        <v>21</v>
      </c>
      <c r="BX53" s="4" t="s">
        <v>151</v>
      </c>
    </row>
    <row r="54" spans="1:76" x14ac:dyDescent="0.25">
      <c r="A54" s="27"/>
      <c r="C54" s="28" t="s">
        <v>81</v>
      </c>
      <c r="D54" s="28" t="s">
        <v>153</v>
      </c>
      <c r="F54" s="29">
        <v>6</v>
      </c>
      <c r="K54" s="30"/>
    </row>
    <row r="55" spans="1:76" x14ac:dyDescent="0.25">
      <c r="A55" s="2" t="s">
        <v>154</v>
      </c>
      <c r="B55" s="3" t="s">
        <v>155</v>
      </c>
      <c r="C55" s="109" t="s">
        <v>156</v>
      </c>
      <c r="D55" s="106"/>
      <c r="E55" s="3" t="s">
        <v>104</v>
      </c>
      <c r="F55" s="24">
        <v>0.15</v>
      </c>
      <c r="G55" s="24">
        <v>0</v>
      </c>
      <c r="H55" s="24">
        <f>ROUND(F55*AO55,2)</f>
        <v>0</v>
      </c>
      <c r="I55" s="24">
        <f>ROUND(F55*AP55,2)</f>
        <v>0</v>
      </c>
      <c r="J55" s="24">
        <f>ROUND(F55*G55,2)</f>
        <v>0</v>
      </c>
      <c r="K55" s="25" t="s">
        <v>55</v>
      </c>
      <c r="Z55" s="24">
        <f>ROUND(IF(AQ55="5",BJ55,0),2)</f>
        <v>0</v>
      </c>
      <c r="AB55" s="24">
        <f>ROUND(IF(AQ55="1",BH55,0),2)</f>
        <v>0</v>
      </c>
      <c r="AC55" s="24">
        <f>ROUND(IF(AQ55="1",BI55,0),2)</f>
        <v>0</v>
      </c>
      <c r="AD55" s="24">
        <f>ROUND(IF(AQ55="7",BH55,0),2)</f>
        <v>0</v>
      </c>
      <c r="AE55" s="24">
        <f>ROUND(IF(AQ55="7",BI55,0),2)</f>
        <v>0</v>
      </c>
      <c r="AF55" s="24">
        <f>ROUND(IF(AQ55="2",BH55,0),2)</f>
        <v>0</v>
      </c>
      <c r="AG55" s="24">
        <f>ROUND(IF(AQ55="2",BI55,0),2)</f>
        <v>0</v>
      </c>
      <c r="AH55" s="24">
        <f>ROUND(IF(AQ55="0",BJ55,0),2)</f>
        <v>0</v>
      </c>
      <c r="AI55" s="10" t="s">
        <v>48</v>
      </c>
      <c r="AJ55" s="24">
        <f>IF(AN55=0,J55,0)</f>
        <v>0</v>
      </c>
      <c r="AK55" s="24">
        <f>IF(AN55=12,J55,0)</f>
        <v>0</v>
      </c>
      <c r="AL55" s="24">
        <f>IF(AN55=21,J55,0)</f>
        <v>0</v>
      </c>
      <c r="AN55" s="24">
        <v>21</v>
      </c>
      <c r="AO55" s="24">
        <f>G55*0.680030064</f>
        <v>0</v>
      </c>
      <c r="AP55" s="24">
        <f>G55*(1-0.680030064)</f>
        <v>0</v>
      </c>
      <c r="AQ55" s="26" t="s">
        <v>51</v>
      </c>
      <c r="AV55" s="24">
        <f>ROUND(AW55+AX55,2)</f>
        <v>0</v>
      </c>
      <c r="AW55" s="24">
        <f>ROUND(F55*AO55,2)</f>
        <v>0</v>
      </c>
      <c r="AX55" s="24">
        <f>ROUND(F55*AP55,2)</f>
        <v>0</v>
      </c>
      <c r="AY55" s="26" t="s">
        <v>139</v>
      </c>
      <c r="AZ55" s="26" t="s">
        <v>139</v>
      </c>
      <c r="BA55" s="10" t="s">
        <v>57</v>
      </c>
      <c r="BC55" s="24">
        <f>AW55+AX55</f>
        <v>0</v>
      </c>
      <c r="BD55" s="24">
        <f>G55/(100-BE55)*100</f>
        <v>0</v>
      </c>
      <c r="BE55" s="24">
        <v>0</v>
      </c>
      <c r="BF55" s="24">
        <f>55</f>
        <v>55</v>
      </c>
      <c r="BH55" s="24">
        <f>F55*AO55</f>
        <v>0</v>
      </c>
      <c r="BI55" s="24">
        <f>F55*AP55</f>
        <v>0</v>
      </c>
      <c r="BJ55" s="24">
        <f>F55*G55</f>
        <v>0</v>
      </c>
      <c r="BK55" s="26" t="s">
        <v>58</v>
      </c>
      <c r="BL55" s="24">
        <v>41</v>
      </c>
      <c r="BW55" s="24">
        <v>21</v>
      </c>
      <c r="BX55" s="4" t="s">
        <v>156</v>
      </c>
    </row>
    <row r="56" spans="1:76" x14ac:dyDescent="0.25">
      <c r="A56" s="27"/>
      <c r="C56" s="28" t="s">
        <v>157</v>
      </c>
      <c r="D56" s="28" t="s">
        <v>106</v>
      </c>
      <c r="F56" s="29">
        <v>0.15</v>
      </c>
      <c r="K56" s="30"/>
    </row>
    <row r="57" spans="1:76" x14ac:dyDescent="0.25">
      <c r="A57" s="2" t="s">
        <v>79</v>
      </c>
      <c r="B57" s="3" t="s">
        <v>158</v>
      </c>
      <c r="C57" s="109" t="s">
        <v>159</v>
      </c>
      <c r="D57" s="106"/>
      <c r="E57" s="3" t="s">
        <v>104</v>
      </c>
      <c r="F57" s="24">
        <v>0.85</v>
      </c>
      <c r="G57" s="24">
        <v>0</v>
      </c>
      <c r="H57" s="24">
        <f>ROUND(F57*AO57,2)</f>
        <v>0</v>
      </c>
      <c r="I57" s="24">
        <f>ROUND(F57*AP57,2)</f>
        <v>0</v>
      </c>
      <c r="J57" s="24">
        <f>ROUND(F57*G57,2)</f>
        <v>0</v>
      </c>
      <c r="K57" s="25" t="s">
        <v>55</v>
      </c>
      <c r="Z57" s="24">
        <f>ROUND(IF(AQ57="5",BJ57,0),2)</f>
        <v>0</v>
      </c>
      <c r="AB57" s="24">
        <f>ROUND(IF(AQ57="1",BH57,0),2)</f>
        <v>0</v>
      </c>
      <c r="AC57" s="24">
        <f>ROUND(IF(AQ57="1",BI57,0),2)</f>
        <v>0</v>
      </c>
      <c r="AD57" s="24">
        <f>ROUND(IF(AQ57="7",BH57,0),2)</f>
        <v>0</v>
      </c>
      <c r="AE57" s="24">
        <f>ROUND(IF(AQ57="7",BI57,0),2)</f>
        <v>0</v>
      </c>
      <c r="AF57" s="24">
        <f>ROUND(IF(AQ57="2",BH57,0),2)</f>
        <v>0</v>
      </c>
      <c r="AG57" s="24">
        <f>ROUND(IF(AQ57="2",BI57,0),2)</f>
        <v>0</v>
      </c>
      <c r="AH57" s="24">
        <f>ROUND(IF(AQ57="0",BJ57,0),2)</f>
        <v>0</v>
      </c>
      <c r="AI57" s="10" t="s">
        <v>48</v>
      </c>
      <c r="AJ57" s="24">
        <f>IF(AN57=0,J57,0)</f>
        <v>0</v>
      </c>
      <c r="AK57" s="24">
        <f>IF(AN57=12,J57,0)</f>
        <v>0</v>
      </c>
      <c r="AL57" s="24">
        <f>IF(AN57=21,J57,0)</f>
        <v>0</v>
      </c>
      <c r="AN57" s="24">
        <v>21</v>
      </c>
      <c r="AO57" s="24">
        <f>G57*0.758658152</f>
        <v>0</v>
      </c>
      <c r="AP57" s="24">
        <f>G57*(1-0.758658152)</f>
        <v>0</v>
      </c>
      <c r="AQ57" s="26" t="s">
        <v>51</v>
      </c>
      <c r="AV57" s="24">
        <f>ROUND(AW57+AX57,2)</f>
        <v>0</v>
      </c>
      <c r="AW57" s="24">
        <f>ROUND(F57*AO57,2)</f>
        <v>0</v>
      </c>
      <c r="AX57" s="24">
        <f>ROUND(F57*AP57,2)</f>
        <v>0</v>
      </c>
      <c r="AY57" s="26" t="s">
        <v>139</v>
      </c>
      <c r="AZ57" s="26" t="s">
        <v>139</v>
      </c>
      <c r="BA57" s="10" t="s">
        <v>57</v>
      </c>
      <c r="BC57" s="24">
        <f>AW57+AX57</f>
        <v>0</v>
      </c>
      <c r="BD57" s="24">
        <f>G57/(100-BE57)*100</f>
        <v>0</v>
      </c>
      <c r="BE57" s="24">
        <v>0</v>
      </c>
      <c r="BF57" s="24">
        <f>57</f>
        <v>57</v>
      </c>
      <c r="BH57" s="24">
        <f>F57*AO57</f>
        <v>0</v>
      </c>
      <c r="BI57" s="24">
        <f>F57*AP57</f>
        <v>0</v>
      </c>
      <c r="BJ57" s="24">
        <f>F57*G57</f>
        <v>0</v>
      </c>
      <c r="BK57" s="26" t="s">
        <v>58</v>
      </c>
      <c r="BL57" s="24">
        <v>41</v>
      </c>
      <c r="BW57" s="24">
        <v>21</v>
      </c>
      <c r="BX57" s="4" t="s">
        <v>159</v>
      </c>
    </row>
    <row r="58" spans="1:76" x14ac:dyDescent="0.25">
      <c r="A58" s="27"/>
      <c r="C58" s="28" t="s">
        <v>160</v>
      </c>
      <c r="D58" s="28" t="s">
        <v>106</v>
      </c>
      <c r="F58" s="29">
        <v>0.85</v>
      </c>
      <c r="K58" s="30"/>
    </row>
    <row r="59" spans="1:76" x14ac:dyDescent="0.25">
      <c r="A59" s="31" t="s">
        <v>48</v>
      </c>
      <c r="B59" s="32" t="s">
        <v>161</v>
      </c>
      <c r="C59" s="181" t="s">
        <v>162</v>
      </c>
      <c r="D59" s="182"/>
      <c r="E59" s="33" t="s">
        <v>4</v>
      </c>
      <c r="F59" s="33" t="s">
        <v>4</v>
      </c>
      <c r="G59" s="33" t="s">
        <v>4</v>
      </c>
      <c r="H59" s="1">
        <f>ROUND(SUM(H60:H72),2)</f>
        <v>0</v>
      </c>
      <c r="I59" s="1">
        <f>ROUND(SUM(I60:I72),2)</f>
        <v>0</v>
      </c>
      <c r="J59" s="1">
        <f>ROUND(SUM(J60:J72),2)</f>
        <v>0</v>
      </c>
      <c r="K59" s="34" t="s">
        <v>48</v>
      </c>
      <c r="AI59" s="10" t="s">
        <v>48</v>
      </c>
      <c r="AS59" s="1">
        <f>SUM(AJ60:AJ72)</f>
        <v>0</v>
      </c>
      <c r="AT59" s="1">
        <f>SUM(AK60:AK72)</f>
        <v>0</v>
      </c>
      <c r="AU59" s="1">
        <f>SUM(AL60:AL72)</f>
        <v>0</v>
      </c>
    </row>
    <row r="60" spans="1:76" x14ac:dyDescent="0.25">
      <c r="A60" s="2" t="s">
        <v>163</v>
      </c>
      <c r="B60" s="3" t="s">
        <v>164</v>
      </c>
      <c r="C60" s="109" t="s">
        <v>165</v>
      </c>
      <c r="D60" s="106"/>
      <c r="E60" s="3" t="s">
        <v>84</v>
      </c>
      <c r="F60" s="24">
        <v>32.94</v>
      </c>
      <c r="G60" s="24">
        <v>0</v>
      </c>
      <c r="H60" s="24">
        <f>ROUND(F60*AO60,2)</f>
        <v>0</v>
      </c>
      <c r="I60" s="24">
        <f>ROUND(F60*AP60,2)</f>
        <v>0</v>
      </c>
      <c r="J60" s="24">
        <f>ROUND(F60*G60,2)</f>
        <v>0</v>
      </c>
      <c r="K60" s="25" t="s">
        <v>55</v>
      </c>
      <c r="Z60" s="24">
        <f>ROUND(IF(AQ60="5",BJ60,0),2)</f>
        <v>0</v>
      </c>
      <c r="AB60" s="24">
        <f>ROUND(IF(AQ60="1",BH60,0),2)</f>
        <v>0</v>
      </c>
      <c r="AC60" s="24">
        <f>ROUND(IF(AQ60="1",BI60,0),2)</f>
        <v>0</v>
      </c>
      <c r="AD60" s="24">
        <f>ROUND(IF(AQ60="7",BH60,0),2)</f>
        <v>0</v>
      </c>
      <c r="AE60" s="24">
        <f>ROUND(IF(AQ60="7",BI60,0),2)</f>
        <v>0</v>
      </c>
      <c r="AF60" s="24">
        <f>ROUND(IF(AQ60="2",BH60,0),2)</f>
        <v>0</v>
      </c>
      <c r="AG60" s="24">
        <f>ROUND(IF(AQ60="2",BI60,0),2)</f>
        <v>0</v>
      </c>
      <c r="AH60" s="24">
        <f>ROUND(IF(AQ60="0",BJ60,0),2)</f>
        <v>0</v>
      </c>
      <c r="AI60" s="10" t="s">
        <v>48</v>
      </c>
      <c r="AJ60" s="24">
        <f>IF(AN60=0,J60,0)</f>
        <v>0</v>
      </c>
      <c r="AK60" s="24">
        <f>IF(AN60=12,J60,0)</f>
        <v>0</v>
      </c>
      <c r="AL60" s="24">
        <f>IF(AN60=21,J60,0)</f>
        <v>0</v>
      </c>
      <c r="AN60" s="24">
        <v>21</v>
      </c>
      <c r="AO60" s="24">
        <f>G60*0.221975583</f>
        <v>0</v>
      </c>
      <c r="AP60" s="24">
        <f>G60*(1-0.221975583)</f>
        <v>0</v>
      </c>
      <c r="AQ60" s="26" t="s">
        <v>51</v>
      </c>
      <c r="AV60" s="24">
        <f>ROUND(AW60+AX60,2)</f>
        <v>0</v>
      </c>
      <c r="AW60" s="24">
        <f>ROUND(F60*AO60,2)</f>
        <v>0</v>
      </c>
      <c r="AX60" s="24">
        <f>ROUND(F60*AP60,2)</f>
        <v>0</v>
      </c>
      <c r="AY60" s="26" t="s">
        <v>166</v>
      </c>
      <c r="AZ60" s="26" t="s">
        <v>166</v>
      </c>
      <c r="BA60" s="10" t="s">
        <v>57</v>
      </c>
      <c r="BC60" s="24">
        <f>AW60+AX60</f>
        <v>0</v>
      </c>
      <c r="BD60" s="24">
        <f>G60/(100-BE60)*100</f>
        <v>0</v>
      </c>
      <c r="BE60" s="24">
        <v>0</v>
      </c>
      <c r="BF60" s="24">
        <f>60</f>
        <v>60</v>
      </c>
      <c r="BH60" s="24">
        <f>F60*AO60</f>
        <v>0</v>
      </c>
      <c r="BI60" s="24">
        <f>F60*AP60</f>
        <v>0</v>
      </c>
      <c r="BJ60" s="24">
        <f>F60*G60</f>
        <v>0</v>
      </c>
      <c r="BK60" s="26" t="s">
        <v>58</v>
      </c>
      <c r="BL60" s="24">
        <v>61</v>
      </c>
      <c r="BW60" s="24">
        <v>21</v>
      </c>
      <c r="BX60" s="4" t="s">
        <v>165</v>
      </c>
    </row>
    <row r="61" spans="1:76" x14ac:dyDescent="0.25">
      <c r="A61" s="27"/>
      <c r="C61" s="28" t="s">
        <v>144</v>
      </c>
      <c r="D61" s="28" t="s">
        <v>167</v>
      </c>
      <c r="F61" s="29">
        <v>32.94</v>
      </c>
      <c r="K61" s="30"/>
    </row>
    <row r="62" spans="1:76" x14ac:dyDescent="0.25">
      <c r="A62" s="2" t="s">
        <v>168</v>
      </c>
      <c r="B62" s="3" t="s">
        <v>169</v>
      </c>
      <c r="C62" s="109" t="s">
        <v>170</v>
      </c>
      <c r="D62" s="106"/>
      <c r="E62" s="3" t="s">
        <v>84</v>
      </c>
      <c r="F62" s="24">
        <v>32.94</v>
      </c>
      <c r="G62" s="24">
        <v>0</v>
      </c>
      <c r="H62" s="24">
        <f>ROUND(F62*AO62,2)</f>
        <v>0</v>
      </c>
      <c r="I62" s="24">
        <f>ROUND(F62*AP62,2)</f>
        <v>0</v>
      </c>
      <c r="J62" s="24">
        <f>ROUND(F62*G62,2)</f>
        <v>0</v>
      </c>
      <c r="K62" s="25" t="s">
        <v>55</v>
      </c>
      <c r="Z62" s="24">
        <f>ROUND(IF(AQ62="5",BJ62,0),2)</f>
        <v>0</v>
      </c>
      <c r="AB62" s="24">
        <f>ROUND(IF(AQ62="1",BH62,0),2)</f>
        <v>0</v>
      </c>
      <c r="AC62" s="24">
        <f>ROUND(IF(AQ62="1",BI62,0),2)</f>
        <v>0</v>
      </c>
      <c r="AD62" s="24">
        <f>ROUND(IF(AQ62="7",BH62,0),2)</f>
        <v>0</v>
      </c>
      <c r="AE62" s="24">
        <f>ROUND(IF(AQ62="7",BI62,0),2)</f>
        <v>0</v>
      </c>
      <c r="AF62" s="24">
        <f>ROUND(IF(AQ62="2",BH62,0),2)</f>
        <v>0</v>
      </c>
      <c r="AG62" s="24">
        <f>ROUND(IF(AQ62="2",BI62,0),2)</f>
        <v>0</v>
      </c>
      <c r="AH62" s="24">
        <f>ROUND(IF(AQ62="0",BJ62,0),2)</f>
        <v>0</v>
      </c>
      <c r="AI62" s="10" t="s">
        <v>48</v>
      </c>
      <c r="AJ62" s="24">
        <f>IF(AN62=0,J62,0)</f>
        <v>0</v>
      </c>
      <c r="AK62" s="24">
        <f>IF(AN62=12,J62,0)</f>
        <v>0</v>
      </c>
      <c r="AL62" s="24">
        <f>IF(AN62=21,J62,0)</f>
        <v>0</v>
      </c>
      <c r="AN62" s="24">
        <v>21</v>
      </c>
      <c r="AO62" s="24">
        <f>G62*0.152259218</f>
        <v>0</v>
      </c>
      <c r="AP62" s="24">
        <f>G62*(1-0.152259218)</f>
        <v>0</v>
      </c>
      <c r="AQ62" s="26" t="s">
        <v>51</v>
      </c>
      <c r="AV62" s="24">
        <f>ROUND(AW62+AX62,2)</f>
        <v>0</v>
      </c>
      <c r="AW62" s="24">
        <f>ROUND(F62*AO62,2)</f>
        <v>0</v>
      </c>
      <c r="AX62" s="24">
        <f>ROUND(F62*AP62,2)</f>
        <v>0</v>
      </c>
      <c r="AY62" s="26" t="s">
        <v>166</v>
      </c>
      <c r="AZ62" s="26" t="s">
        <v>166</v>
      </c>
      <c r="BA62" s="10" t="s">
        <v>57</v>
      </c>
      <c r="BC62" s="24">
        <f>AW62+AX62</f>
        <v>0</v>
      </c>
      <c r="BD62" s="24">
        <f>G62/(100-BE62)*100</f>
        <v>0</v>
      </c>
      <c r="BE62" s="24">
        <v>0</v>
      </c>
      <c r="BF62" s="24">
        <f>62</f>
        <v>62</v>
      </c>
      <c r="BH62" s="24">
        <f>F62*AO62</f>
        <v>0</v>
      </c>
      <c r="BI62" s="24">
        <f>F62*AP62</f>
        <v>0</v>
      </c>
      <c r="BJ62" s="24">
        <f>F62*G62</f>
        <v>0</v>
      </c>
      <c r="BK62" s="26" t="s">
        <v>58</v>
      </c>
      <c r="BL62" s="24">
        <v>61</v>
      </c>
      <c r="BW62" s="24">
        <v>21</v>
      </c>
      <c r="BX62" s="4" t="s">
        <v>170</v>
      </c>
    </row>
    <row r="63" spans="1:76" x14ac:dyDescent="0.25">
      <c r="A63" s="27"/>
      <c r="C63" s="28" t="s">
        <v>144</v>
      </c>
      <c r="D63" s="28" t="s">
        <v>167</v>
      </c>
      <c r="F63" s="29">
        <v>32.94</v>
      </c>
      <c r="K63" s="30"/>
    </row>
    <row r="64" spans="1:76" x14ac:dyDescent="0.25">
      <c r="A64" s="2" t="s">
        <v>171</v>
      </c>
      <c r="B64" s="3" t="s">
        <v>172</v>
      </c>
      <c r="C64" s="109" t="s">
        <v>173</v>
      </c>
      <c r="D64" s="106"/>
      <c r="E64" s="3" t="s">
        <v>152</v>
      </c>
      <c r="F64" s="24">
        <v>5</v>
      </c>
      <c r="G64" s="24">
        <v>0</v>
      </c>
      <c r="H64" s="24">
        <f>ROUND(F64*AO64,2)</f>
        <v>0</v>
      </c>
      <c r="I64" s="24">
        <f>ROUND(F64*AP64,2)</f>
        <v>0</v>
      </c>
      <c r="J64" s="24">
        <f>ROUND(F64*G64,2)</f>
        <v>0</v>
      </c>
      <c r="K64" s="25" t="s">
        <v>55</v>
      </c>
      <c r="Z64" s="24">
        <f>ROUND(IF(AQ64="5",BJ64,0),2)</f>
        <v>0</v>
      </c>
      <c r="AB64" s="24">
        <f>ROUND(IF(AQ64="1",BH64,0),2)</f>
        <v>0</v>
      </c>
      <c r="AC64" s="24">
        <f>ROUND(IF(AQ64="1",BI64,0),2)</f>
        <v>0</v>
      </c>
      <c r="AD64" s="24">
        <f>ROUND(IF(AQ64="7",BH64,0),2)</f>
        <v>0</v>
      </c>
      <c r="AE64" s="24">
        <f>ROUND(IF(AQ64="7",BI64,0),2)</f>
        <v>0</v>
      </c>
      <c r="AF64" s="24">
        <f>ROUND(IF(AQ64="2",BH64,0),2)</f>
        <v>0</v>
      </c>
      <c r="AG64" s="24">
        <f>ROUND(IF(AQ64="2",BI64,0),2)</f>
        <v>0</v>
      </c>
      <c r="AH64" s="24">
        <f>ROUND(IF(AQ64="0",BJ64,0),2)</f>
        <v>0</v>
      </c>
      <c r="AI64" s="10" t="s">
        <v>48</v>
      </c>
      <c r="AJ64" s="24">
        <f>IF(AN64=0,J64,0)</f>
        <v>0</v>
      </c>
      <c r="AK64" s="24">
        <f>IF(AN64=12,J64,0)</f>
        <v>0</v>
      </c>
      <c r="AL64" s="24">
        <f>IF(AN64=21,J64,0)</f>
        <v>0</v>
      </c>
      <c r="AN64" s="24">
        <v>21</v>
      </c>
      <c r="AO64" s="24">
        <f>G64*0.151394958</f>
        <v>0</v>
      </c>
      <c r="AP64" s="24">
        <f>G64*(1-0.151394958)</f>
        <v>0</v>
      </c>
      <c r="AQ64" s="26" t="s">
        <v>51</v>
      </c>
      <c r="AV64" s="24">
        <f>ROUND(AW64+AX64,2)</f>
        <v>0</v>
      </c>
      <c r="AW64" s="24">
        <f>ROUND(F64*AO64,2)</f>
        <v>0</v>
      </c>
      <c r="AX64" s="24">
        <f>ROUND(F64*AP64,2)</f>
        <v>0</v>
      </c>
      <c r="AY64" s="26" t="s">
        <v>166</v>
      </c>
      <c r="AZ64" s="26" t="s">
        <v>166</v>
      </c>
      <c r="BA64" s="10" t="s">
        <v>57</v>
      </c>
      <c r="BC64" s="24">
        <f>AW64+AX64</f>
        <v>0</v>
      </c>
      <c r="BD64" s="24">
        <f>G64/(100-BE64)*100</f>
        <v>0</v>
      </c>
      <c r="BE64" s="24">
        <v>0</v>
      </c>
      <c r="BF64" s="24">
        <f>64</f>
        <v>64</v>
      </c>
      <c r="BH64" s="24">
        <f>F64*AO64</f>
        <v>0</v>
      </c>
      <c r="BI64" s="24">
        <f>F64*AP64</f>
        <v>0</v>
      </c>
      <c r="BJ64" s="24">
        <f>F64*G64</f>
        <v>0</v>
      </c>
      <c r="BK64" s="26" t="s">
        <v>58</v>
      </c>
      <c r="BL64" s="24">
        <v>61</v>
      </c>
      <c r="BW64" s="24">
        <v>21</v>
      </c>
      <c r="BX64" s="4" t="s">
        <v>173</v>
      </c>
    </row>
    <row r="65" spans="1:76" x14ac:dyDescent="0.25">
      <c r="A65" s="27"/>
      <c r="C65" s="28" t="s">
        <v>75</v>
      </c>
      <c r="D65" s="28" t="s">
        <v>174</v>
      </c>
      <c r="F65" s="29">
        <v>5</v>
      </c>
      <c r="K65" s="30"/>
    </row>
    <row r="66" spans="1:76" x14ac:dyDescent="0.25">
      <c r="A66" s="2" t="s">
        <v>175</v>
      </c>
      <c r="B66" s="3" t="s">
        <v>176</v>
      </c>
      <c r="C66" s="109" t="s">
        <v>177</v>
      </c>
      <c r="D66" s="106"/>
      <c r="E66" s="3" t="s">
        <v>152</v>
      </c>
      <c r="F66" s="24">
        <v>5</v>
      </c>
      <c r="G66" s="24">
        <v>0</v>
      </c>
      <c r="H66" s="24">
        <f>ROUND(F66*AO66,2)</f>
        <v>0</v>
      </c>
      <c r="I66" s="24">
        <f>ROUND(F66*AP66,2)</f>
        <v>0</v>
      </c>
      <c r="J66" s="24">
        <f>ROUND(F66*G66,2)</f>
        <v>0</v>
      </c>
      <c r="K66" s="25" t="s">
        <v>55</v>
      </c>
      <c r="Z66" s="24">
        <f>ROUND(IF(AQ66="5",BJ66,0),2)</f>
        <v>0</v>
      </c>
      <c r="AB66" s="24">
        <f>ROUND(IF(AQ66="1",BH66,0),2)</f>
        <v>0</v>
      </c>
      <c r="AC66" s="24">
        <f>ROUND(IF(AQ66="1",BI66,0),2)</f>
        <v>0</v>
      </c>
      <c r="AD66" s="24">
        <f>ROUND(IF(AQ66="7",BH66,0),2)</f>
        <v>0</v>
      </c>
      <c r="AE66" s="24">
        <f>ROUND(IF(AQ66="7",BI66,0),2)</f>
        <v>0</v>
      </c>
      <c r="AF66" s="24">
        <f>ROUND(IF(AQ66="2",BH66,0),2)</f>
        <v>0</v>
      </c>
      <c r="AG66" s="24">
        <f>ROUND(IF(AQ66="2",BI66,0),2)</f>
        <v>0</v>
      </c>
      <c r="AH66" s="24">
        <f>ROUND(IF(AQ66="0",BJ66,0),2)</f>
        <v>0</v>
      </c>
      <c r="AI66" s="10" t="s">
        <v>48</v>
      </c>
      <c r="AJ66" s="24">
        <f>IF(AN66=0,J66,0)</f>
        <v>0</v>
      </c>
      <c r="AK66" s="24">
        <f>IF(AN66=12,J66,0)</f>
        <v>0</v>
      </c>
      <c r="AL66" s="24">
        <f>IF(AN66=21,J66,0)</f>
        <v>0</v>
      </c>
      <c r="AN66" s="24">
        <v>21</v>
      </c>
      <c r="AO66" s="24">
        <f>G66*0.135743802</f>
        <v>0</v>
      </c>
      <c r="AP66" s="24">
        <f>G66*(1-0.135743802)</f>
        <v>0</v>
      </c>
      <c r="AQ66" s="26" t="s">
        <v>51</v>
      </c>
      <c r="AV66" s="24">
        <f>ROUND(AW66+AX66,2)</f>
        <v>0</v>
      </c>
      <c r="AW66" s="24">
        <f>ROUND(F66*AO66,2)</f>
        <v>0</v>
      </c>
      <c r="AX66" s="24">
        <f>ROUND(F66*AP66,2)</f>
        <v>0</v>
      </c>
      <c r="AY66" s="26" t="s">
        <v>166</v>
      </c>
      <c r="AZ66" s="26" t="s">
        <v>166</v>
      </c>
      <c r="BA66" s="10" t="s">
        <v>57</v>
      </c>
      <c r="BC66" s="24">
        <f>AW66+AX66</f>
        <v>0</v>
      </c>
      <c r="BD66" s="24">
        <f>G66/(100-BE66)*100</f>
        <v>0</v>
      </c>
      <c r="BE66" s="24">
        <v>0</v>
      </c>
      <c r="BF66" s="24">
        <f>66</f>
        <v>66</v>
      </c>
      <c r="BH66" s="24">
        <f>F66*AO66</f>
        <v>0</v>
      </c>
      <c r="BI66" s="24">
        <f>F66*AP66</f>
        <v>0</v>
      </c>
      <c r="BJ66" s="24">
        <f>F66*G66</f>
        <v>0</v>
      </c>
      <c r="BK66" s="26" t="s">
        <v>58</v>
      </c>
      <c r="BL66" s="24">
        <v>61</v>
      </c>
      <c r="BW66" s="24">
        <v>21</v>
      </c>
      <c r="BX66" s="4" t="s">
        <v>177</v>
      </c>
    </row>
    <row r="67" spans="1:76" x14ac:dyDescent="0.25">
      <c r="A67" s="27"/>
      <c r="C67" s="28" t="s">
        <v>75</v>
      </c>
      <c r="D67" s="28" t="s">
        <v>174</v>
      </c>
      <c r="F67" s="29">
        <v>5</v>
      </c>
      <c r="K67" s="30"/>
    </row>
    <row r="68" spans="1:76" x14ac:dyDescent="0.25">
      <c r="A68" s="2" t="s">
        <v>178</v>
      </c>
      <c r="B68" s="3" t="s">
        <v>179</v>
      </c>
      <c r="C68" s="109" t="s">
        <v>180</v>
      </c>
      <c r="D68" s="106"/>
      <c r="E68" s="3" t="s">
        <v>84</v>
      </c>
      <c r="F68" s="24">
        <v>16.79</v>
      </c>
      <c r="G68" s="24">
        <v>0</v>
      </c>
      <c r="H68" s="24">
        <f>ROUND(F68*AO68,2)</f>
        <v>0</v>
      </c>
      <c r="I68" s="24">
        <f>ROUND(F68*AP68,2)</f>
        <v>0</v>
      </c>
      <c r="J68" s="24">
        <f>ROUND(F68*G68,2)</f>
        <v>0</v>
      </c>
      <c r="K68" s="25" t="s">
        <v>55</v>
      </c>
      <c r="Z68" s="24">
        <f>ROUND(IF(AQ68="5",BJ68,0),2)</f>
        <v>0</v>
      </c>
      <c r="AB68" s="24">
        <f>ROUND(IF(AQ68="1",BH68,0),2)</f>
        <v>0</v>
      </c>
      <c r="AC68" s="24">
        <f>ROUND(IF(AQ68="1",BI68,0),2)</f>
        <v>0</v>
      </c>
      <c r="AD68" s="24">
        <f>ROUND(IF(AQ68="7",BH68,0),2)</f>
        <v>0</v>
      </c>
      <c r="AE68" s="24">
        <f>ROUND(IF(AQ68="7",BI68,0),2)</f>
        <v>0</v>
      </c>
      <c r="AF68" s="24">
        <f>ROUND(IF(AQ68="2",BH68,0),2)</f>
        <v>0</v>
      </c>
      <c r="AG68" s="24">
        <f>ROUND(IF(AQ68="2",BI68,0),2)</f>
        <v>0</v>
      </c>
      <c r="AH68" s="24">
        <f>ROUND(IF(AQ68="0",BJ68,0),2)</f>
        <v>0</v>
      </c>
      <c r="AI68" s="10" t="s">
        <v>48</v>
      </c>
      <c r="AJ68" s="24">
        <f>IF(AN68=0,J68,0)</f>
        <v>0</v>
      </c>
      <c r="AK68" s="24">
        <f>IF(AN68=12,J68,0)</f>
        <v>0</v>
      </c>
      <c r="AL68" s="24">
        <f>IF(AN68=21,J68,0)</f>
        <v>0</v>
      </c>
      <c r="AN68" s="24">
        <v>21</v>
      </c>
      <c r="AO68" s="24">
        <f>G68*0.113424911</f>
        <v>0</v>
      </c>
      <c r="AP68" s="24">
        <f>G68*(1-0.113424911)</f>
        <v>0</v>
      </c>
      <c r="AQ68" s="26" t="s">
        <v>51</v>
      </c>
      <c r="AV68" s="24">
        <f>ROUND(AW68+AX68,2)</f>
        <v>0</v>
      </c>
      <c r="AW68" s="24">
        <f>ROUND(F68*AO68,2)</f>
        <v>0</v>
      </c>
      <c r="AX68" s="24">
        <f>ROUND(F68*AP68,2)</f>
        <v>0</v>
      </c>
      <c r="AY68" s="26" t="s">
        <v>166</v>
      </c>
      <c r="AZ68" s="26" t="s">
        <v>166</v>
      </c>
      <c r="BA68" s="10" t="s">
        <v>57</v>
      </c>
      <c r="BC68" s="24">
        <f>AW68+AX68</f>
        <v>0</v>
      </c>
      <c r="BD68" s="24">
        <f>G68/(100-BE68)*100</f>
        <v>0</v>
      </c>
      <c r="BE68" s="24">
        <v>0</v>
      </c>
      <c r="BF68" s="24">
        <f>68</f>
        <v>68</v>
      </c>
      <c r="BH68" s="24">
        <f>F68*AO68</f>
        <v>0</v>
      </c>
      <c r="BI68" s="24">
        <f>F68*AP68</f>
        <v>0</v>
      </c>
      <c r="BJ68" s="24">
        <f>F68*G68</f>
        <v>0</v>
      </c>
      <c r="BK68" s="26" t="s">
        <v>58</v>
      </c>
      <c r="BL68" s="24">
        <v>61</v>
      </c>
      <c r="BW68" s="24">
        <v>21</v>
      </c>
      <c r="BX68" s="4" t="s">
        <v>180</v>
      </c>
    </row>
    <row r="69" spans="1:76" x14ac:dyDescent="0.25">
      <c r="A69" s="27"/>
      <c r="C69" s="28" t="s">
        <v>181</v>
      </c>
      <c r="D69" s="28" t="s">
        <v>182</v>
      </c>
      <c r="F69" s="29">
        <v>16.79</v>
      </c>
      <c r="K69" s="30"/>
    </row>
    <row r="70" spans="1:76" x14ac:dyDescent="0.25">
      <c r="A70" s="2" t="s">
        <v>88</v>
      </c>
      <c r="B70" s="3" t="s">
        <v>183</v>
      </c>
      <c r="C70" s="109" t="s">
        <v>184</v>
      </c>
      <c r="D70" s="106"/>
      <c r="E70" s="3" t="s">
        <v>84</v>
      </c>
      <c r="F70" s="24">
        <v>7.86</v>
      </c>
      <c r="G70" s="24">
        <v>0</v>
      </c>
      <c r="H70" s="24">
        <f>ROUND(F70*AO70,2)</f>
        <v>0</v>
      </c>
      <c r="I70" s="24">
        <f>ROUND(F70*AP70,2)</f>
        <v>0</v>
      </c>
      <c r="J70" s="24">
        <f>ROUND(F70*G70,2)</f>
        <v>0</v>
      </c>
      <c r="K70" s="25" t="s">
        <v>55</v>
      </c>
      <c r="Z70" s="24">
        <f>ROUND(IF(AQ70="5",BJ70,0),2)</f>
        <v>0</v>
      </c>
      <c r="AB70" s="24">
        <f>ROUND(IF(AQ70="1",BH70,0),2)</f>
        <v>0</v>
      </c>
      <c r="AC70" s="24">
        <f>ROUND(IF(AQ70="1",BI70,0),2)</f>
        <v>0</v>
      </c>
      <c r="AD70" s="24">
        <f>ROUND(IF(AQ70="7",BH70,0),2)</f>
        <v>0</v>
      </c>
      <c r="AE70" s="24">
        <f>ROUND(IF(AQ70="7",BI70,0),2)</f>
        <v>0</v>
      </c>
      <c r="AF70" s="24">
        <f>ROUND(IF(AQ70="2",BH70,0),2)</f>
        <v>0</v>
      </c>
      <c r="AG70" s="24">
        <f>ROUND(IF(AQ70="2",BI70,0),2)</f>
        <v>0</v>
      </c>
      <c r="AH70" s="24">
        <f>ROUND(IF(AQ70="0",BJ70,0),2)</f>
        <v>0</v>
      </c>
      <c r="AI70" s="10" t="s">
        <v>48</v>
      </c>
      <c r="AJ70" s="24">
        <f>IF(AN70=0,J70,0)</f>
        <v>0</v>
      </c>
      <c r="AK70" s="24">
        <f>IF(AN70=12,J70,0)</f>
        <v>0</v>
      </c>
      <c r="AL70" s="24">
        <f>IF(AN70=21,J70,0)</f>
        <v>0</v>
      </c>
      <c r="AN70" s="24">
        <v>21</v>
      </c>
      <c r="AO70" s="24">
        <f>G70*0.130834711</f>
        <v>0</v>
      </c>
      <c r="AP70" s="24">
        <f>G70*(1-0.130834711)</f>
        <v>0</v>
      </c>
      <c r="AQ70" s="26" t="s">
        <v>51</v>
      </c>
      <c r="AV70" s="24">
        <f>ROUND(AW70+AX70,2)</f>
        <v>0</v>
      </c>
      <c r="AW70" s="24">
        <f>ROUND(F70*AO70,2)</f>
        <v>0</v>
      </c>
      <c r="AX70" s="24">
        <f>ROUND(F70*AP70,2)</f>
        <v>0</v>
      </c>
      <c r="AY70" s="26" t="s">
        <v>166</v>
      </c>
      <c r="AZ70" s="26" t="s">
        <v>166</v>
      </c>
      <c r="BA70" s="10" t="s">
        <v>57</v>
      </c>
      <c r="BC70" s="24">
        <f>AW70+AX70</f>
        <v>0</v>
      </c>
      <c r="BD70" s="24">
        <f>G70/(100-BE70)*100</f>
        <v>0</v>
      </c>
      <c r="BE70" s="24">
        <v>0</v>
      </c>
      <c r="BF70" s="24">
        <f>70</f>
        <v>70</v>
      </c>
      <c r="BH70" s="24">
        <f>F70*AO70</f>
        <v>0</v>
      </c>
      <c r="BI70" s="24">
        <f>F70*AP70</f>
        <v>0</v>
      </c>
      <c r="BJ70" s="24">
        <f>F70*G70</f>
        <v>0</v>
      </c>
      <c r="BK70" s="26" t="s">
        <v>58</v>
      </c>
      <c r="BL70" s="24">
        <v>61</v>
      </c>
      <c r="BW70" s="24">
        <v>21</v>
      </c>
      <c r="BX70" s="4" t="s">
        <v>184</v>
      </c>
    </row>
    <row r="71" spans="1:76" x14ac:dyDescent="0.25">
      <c r="A71" s="27"/>
      <c r="C71" s="28" t="s">
        <v>185</v>
      </c>
      <c r="D71" s="28" t="s">
        <v>186</v>
      </c>
      <c r="F71" s="29">
        <v>7.86</v>
      </c>
      <c r="K71" s="30"/>
    </row>
    <row r="72" spans="1:76" x14ac:dyDescent="0.25">
      <c r="A72" s="2" t="s">
        <v>187</v>
      </c>
      <c r="B72" s="3" t="s">
        <v>188</v>
      </c>
      <c r="C72" s="109" t="s">
        <v>189</v>
      </c>
      <c r="D72" s="106"/>
      <c r="E72" s="3" t="s">
        <v>190</v>
      </c>
      <c r="F72" s="24">
        <v>14.09</v>
      </c>
      <c r="G72" s="24">
        <v>0</v>
      </c>
      <c r="H72" s="24">
        <f>ROUND(F72*AO72,2)</f>
        <v>0</v>
      </c>
      <c r="I72" s="24">
        <f>ROUND(F72*AP72,2)</f>
        <v>0</v>
      </c>
      <c r="J72" s="24">
        <f>ROUND(F72*G72,2)</f>
        <v>0</v>
      </c>
      <c r="K72" s="25" t="s">
        <v>55</v>
      </c>
      <c r="Z72" s="24">
        <f>ROUND(IF(AQ72="5",BJ72,0),2)</f>
        <v>0</v>
      </c>
      <c r="AB72" s="24">
        <f>ROUND(IF(AQ72="1",BH72,0),2)</f>
        <v>0</v>
      </c>
      <c r="AC72" s="24">
        <f>ROUND(IF(AQ72="1",BI72,0),2)</f>
        <v>0</v>
      </c>
      <c r="AD72" s="24">
        <f>ROUND(IF(AQ72="7",BH72,0),2)</f>
        <v>0</v>
      </c>
      <c r="AE72" s="24">
        <f>ROUND(IF(AQ72="7",BI72,0),2)</f>
        <v>0</v>
      </c>
      <c r="AF72" s="24">
        <f>ROUND(IF(AQ72="2",BH72,0),2)</f>
        <v>0</v>
      </c>
      <c r="AG72" s="24">
        <f>ROUND(IF(AQ72="2",BI72,0),2)</f>
        <v>0</v>
      </c>
      <c r="AH72" s="24">
        <f>ROUND(IF(AQ72="0",BJ72,0),2)</f>
        <v>0</v>
      </c>
      <c r="AI72" s="10" t="s">
        <v>48</v>
      </c>
      <c r="AJ72" s="24">
        <f>IF(AN72=0,J72,0)</f>
        <v>0</v>
      </c>
      <c r="AK72" s="24">
        <f>IF(AN72=12,J72,0)</f>
        <v>0</v>
      </c>
      <c r="AL72" s="24">
        <f>IF(AN72=21,J72,0)</f>
        <v>0</v>
      </c>
      <c r="AN72" s="24">
        <v>21</v>
      </c>
      <c r="AO72" s="24">
        <f>G72*0.046195894</f>
        <v>0</v>
      </c>
      <c r="AP72" s="24">
        <f>G72*(1-0.046195894)</f>
        <v>0</v>
      </c>
      <c r="AQ72" s="26" t="s">
        <v>51</v>
      </c>
      <c r="AV72" s="24">
        <f>ROUND(AW72+AX72,2)</f>
        <v>0</v>
      </c>
      <c r="AW72" s="24">
        <f>ROUND(F72*AO72,2)</f>
        <v>0</v>
      </c>
      <c r="AX72" s="24">
        <f>ROUND(F72*AP72,2)</f>
        <v>0</v>
      </c>
      <c r="AY72" s="26" t="s">
        <v>166</v>
      </c>
      <c r="AZ72" s="26" t="s">
        <v>166</v>
      </c>
      <c r="BA72" s="10" t="s">
        <v>57</v>
      </c>
      <c r="BC72" s="24">
        <f>AW72+AX72</f>
        <v>0</v>
      </c>
      <c r="BD72" s="24">
        <f>G72/(100-BE72)*100</f>
        <v>0</v>
      </c>
      <c r="BE72" s="24">
        <v>0</v>
      </c>
      <c r="BF72" s="24">
        <f>72</f>
        <v>72</v>
      </c>
      <c r="BH72" s="24">
        <f>F72*AO72</f>
        <v>0</v>
      </c>
      <c r="BI72" s="24">
        <f>F72*AP72</f>
        <v>0</v>
      </c>
      <c r="BJ72" s="24">
        <f>F72*G72</f>
        <v>0</v>
      </c>
      <c r="BK72" s="26" t="s">
        <v>58</v>
      </c>
      <c r="BL72" s="24">
        <v>61</v>
      </c>
      <c r="BW72" s="24">
        <v>21</v>
      </c>
      <c r="BX72" s="4" t="s">
        <v>189</v>
      </c>
    </row>
    <row r="73" spans="1:76" x14ac:dyDescent="0.25">
      <c r="A73" s="27"/>
      <c r="C73" s="28" t="s">
        <v>191</v>
      </c>
      <c r="D73" s="28" t="s">
        <v>192</v>
      </c>
      <c r="F73" s="29">
        <v>14.09</v>
      </c>
      <c r="K73" s="30"/>
    </row>
    <row r="74" spans="1:76" x14ac:dyDescent="0.25">
      <c r="A74" s="31" t="s">
        <v>48</v>
      </c>
      <c r="B74" s="32" t="s">
        <v>193</v>
      </c>
      <c r="C74" s="181" t="s">
        <v>194</v>
      </c>
      <c r="D74" s="182"/>
      <c r="E74" s="33" t="s">
        <v>4</v>
      </c>
      <c r="F74" s="33" t="s">
        <v>4</v>
      </c>
      <c r="G74" s="33" t="s">
        <v>4</v>
      </c>
      <c r="H74" s="1">
        <f>ROUND(SUM(H75:H81),2)</f>
        <v>0</v>
      </c>
      <c r="I74" s="1">
        <f>ROUND(SUM(I75:I81),2)</f>
        <v>0</v>
      </c>
      <c r="J74" s="1">
        <f>ROUND(SUM(J75:J81),2)</f>
        <v>0</v>
      </c>
      <c r="K74" s="34" t="s">
        <v>48</v>
      </c>
      <c r="AI74" s="10" t="s">
        <v>48</v>
      </c>
      <c r="AS74" s="1">
        <f>SUM(AJ75:AJ81)</f>
        <v>0</v>
      </c>
      <c r="AT74" s="1">
        <f>SUM(AK75:AK81)</f>
        <v>0</v>
      </c>
      <c r="AU74" s="1">
        <f>SUM(AL75:AL81)</f>
        <v>0</v>
      </c>
    </row>
    <row r="75" spans="1:76" x14ac:dyDescent="0.25">
      <c r="A75" s="2" t="s">
        <v>195</v>
      </c>
      <c r="B75" s="3" t="s">
        <v>196</v>
      </c>
      <c r="C75" s="109" t="s">
        <v>197</v>
      </c>
      <c r="D75" s="106"/>
      <c r="E75" s="3" t="s">
        <v>54</v>
      </c>
      <c r="F75" s="24">
        <v>4.21</v>
      </c>
      <c r="G75" s="24">
        <v>0</v>
      </c>
      <c r="H75" s="24">
        <f>ROUND(F75*AO75,2)</f>
        <v>0</v>
      </c>
      <c r="I75" s="24">
        <f>ROUND(F75*AP75,2)</f>
        <v>0</v>
      </c>
      <c r="J75" s="24">
        <f>ROUND(F75*G75,2)</f>
        <v>0</v>
      </c>
      <c r="K75" s="25" t="s">
        <v>55</v>
      </c>
      <c r="Z75" s="24">
        <f>ROUND(IF(AQ75="5",BJ75,0),2)</f>
        <v>0</v>
      </c>
      <c r="AB75" s="24">
        <f>ROUND(IF(AQ75="1",BH75,0),2)</f>
        <v>0</v>
      </c>
      <c r="AC75" s="24">
        <f>ROUND(IF(AQ75="1",BI75,0),2)</f>
        <v>0</v>
      </c>
      <c r="AD75" s="24">
        <f>ROUND(IF(AQ75="7",BH75,0),2)</f>
        <v>0</v>
      </c>
      <c r="AE75" s="24">
        <f>ROUND(IF(AQ75="7",BI75,0),2)</f>
        <v>0</v>
      </c>
      <c r="AF75" s="24">
        <f>ROUND(IF(AQ75="2",BH75,0),2)</f>
        <v>0</v>
      </c>
      <c r="AG75" s="24">
        <f>ROUND(IF(AQ75="2",BI75,0),2)</f>
        <v>0</v>
      </c>
      <c r="AH75" s="24">
        <f>ROUND(IF(AQ75="0",BJ75,0),2)</f>
        <v>0</v>
      </c>
      <c r="AI75" s="10" t="s">
        <v>48</v>
      </c>
      <c r="AJ75" s="24">
        <f>IF(AN75=0,J75,0)</f>
        <v>0</v>
      </c>
      <c r="AK75" s="24">
        <f>IF(AN75=12,J75,0)</f>
        <v>0</v>
      </c>
      <c r="AL75" s="24">
        <f>IF(AN75=21,J75,0)</f>
        <v>0</v>
      </c>
      <c r="AN75" s="24">
        <v>21</v>
      </c>
      <c r="AO75" s="24">
        <f>G75*0.669809894</f>
        <v>0</v>
      </c>
      <c r="AP75" s="24">
        <f>G75*(1-0.669809894)</f>
        <v>0</v>
      </c>
      <c r="AQ75" s="26" t="s">
        <v>51</v>
      </c>
      <c r="AV75" s="24">
        <f>ROUND(AW75+AX75,2)</f>
        <v>0</v>
      </c>
      <c r="AW75" s="24">
        <f>ROUND(F75*AO75,2)</f>
        <v>0</v>
      </c>
      <c r="AX75" s="24">
        <f>ROUND(F75*AP75,2)</f>
        <v>0</v>
      </c>
      <c r="AY75" s="26" t="s">
        <v>198</v>
      </c>
      <c r="AZ75" s="26" t="s">
        <v>198</v>
      </c>
      <c r="BA75" s="10" t="s">
        <v>57</v>
      </c>
      <c r="BC75" s="24">
        <f>AW75+AX75</f>
        <v>0</v>
      </c>
      <c r="BD75" s="24">
        <f>G75/(100-BE75)*100</f>
        <v>0</v>
      </c>
      <c r="BE75" s="24">
        <v>0</v>
      </c>
      <c r="BF75" s="24">
        <f>75</f>
        <v>75</v>
      </c>
      <c r="BH75" s="24">
        <f>F75*AO75</f>
        <v>0</v>
      </c>
      <c r="BI75" s="24">
        <f>F75*AP75</f>
        <v>0</v>
      </c>
      <c r="BJ75" s="24">
        <f>F75*G75</f>
        <v>0</v>
      </c>
      <c r="BK75" s="26" t="s">
        <v>58</v>
      </c>
      <c r="BL75" s="24">
        <v>63</v>
      </c>
      <c r="BW75" s="24">
        <v>21</v>
      </c>
      <c r="BX75" s="4" t="s">
        <v>197</v>
      </c>
    </row>
    <row r="76" spans="1:76" x14ac:dyDescent="0.25">
      <c r="A76" s="27"/>
      <c r="C76" s="28" t="s">
        <v>199</v>
      </c>
      <c r="D76" s="28" t="s">
        <v>167</v>
      </c>
      <c r="F76" s="29">
        <v>1.48</v>
      </c>
      <c r="K76" s="30"/>
    </row>
    <row r="77" spans="1:76" x14ac:dyDescent="0.25">
      <c r="A77" s="27"/>
      <c r="C77" s="28" t="s">
        <v>200</v>
      </c>
      <c r="D77" s="28" t="s">
        <v>201</v>
      </c>
      <c r="F77" s="29">
        <v>2.73</v>
      </c>
      <c r="K77" s="30"/>
    </row>
    <row r="78" spans="1:76" x14ac:dyDescent="0.25">
      <c r="A78" s="2" t="s">
        <v>202</v>
      </c>
      <c r="B78" s="3" t="s">
        <v>203</v>
      </c>
      <c r="C78" s="109" t="s">
        <v>204</v>
      </c>
      <c r="D78" s="106"/>
      <c r="E78" s="3" t="s">
        <v>54</v>
      </c>
      <c r="F78" s="24">
        <v>4.21</v>
      </c>
      <c r="G78" s="24">
        <v>0</v>
      </c>
      <c r="H78" s="24">
        <f>ROUND(F78*AO78,2)</f>
        <v>0</v>
      </c>
      <c r="I78" s="24">
        <f>ROUND(F78*AP78,2)</f>
        <v>0</v>
      </c>
      <c r="J78" s="24">
        <f>ROUND(F78*G78,2)</f>
        <v>0</v>
      </c>
      <c r="K78" s="25" t="s">
        <v>55</v>
      </c>
      <c r="Z78" s="24">
        <f>ROUND(IF(AQ78="5",BJ78,0),2)</f>
        <v>0</v>
      </c>
      <c r="AB78" s="24">
        <f>ROUND(IF(AQ78="1",BH78,0),2)</f>
        <v>0</v>
      </c>
      <c r="AC78" s="24">
        <f>ROUND(IF(AQ78="1",BI78,0),2)</f>
        <v>0</v>
      </c>
      <c r="AD78" s="24">
        <f>ROUND(IF(AQ78="7",BH78,0),2)</f>
        <v>0</v>
      </c>
      <c r="AE78" s="24">
        <f>ROUND(IF(AQ78="7",BI78,0),2)</f>
        <v>0</v>
      </c>
      <c r="AF78" s="24">
        <f>ROUND(IF(AQ78="2",BH78,0),2)</f>
        <v>0</v>
      </c>
      <c r="AG78" s="24">
        <f>ROUND(IF(AQ78="2",BI78,0),2)</f>
        <v>0</v>
      </c>
      <c r="AH78" s="24">
        <f>ROUND(IF(AQ78="0",BJ78,0),2)</f>
        <v>0</v>
      </c>
      <c r="AI78" s="10" t="s">
        <v>48</v>
      </c>
      <c r="AJ78" s="24">
        <f>IF(AN78=0,J78,0)</f>
        <v>0</v>
      </c>
      <c r="AK78" s="24">
        <f>IF(AN78=12,J78,0)</f>
        <v>0</v>
      </c>
      <c r="AL78" s="24">
        <f>IF(AN78=21,J78,0)</f>
        <v>0</v>
      </c>
      <c r="AN78" s="24">
        <v>21</v>
      </c>
      <c r="AO78" s="24">
        <f>G78*0</f>
        <v>0</v>
      </c>
      <c r="AP78" s="24">
        <f>G78*(1-0)</f>
        <v>0</v>
      </c>
      <c r="AQ78" s="26" t="s">
        <v>51</v>
      </c>
      <c r="AV78" s="24">
        <f>ROUND(AW78+AX78,2)</f>
        <v>0</v>
      </c>
      <c r="AW78" s="24">
        <f>ROUND(F78*AO78,2)</f>
        <v>0</v>
      </c>
      <c r="AX78" s="24">
        <f>ROUND(F78*AP78,2)</f>
        <v>0</v>
      </c>
      <c r="AY78" s="26" t="s">
        <v>198</v>
      </c>
      <c r="AZ78" s="26" t="s">
        <v>198</v>
      </c>
      <c r="BA78" s="10" t="s">
        <v>57</v>
      </c>
      <c r="BC78" s="24">
        <f>AW78+AX78</f>
        <v>0</v>
      </c>
      <c r="BD78" s="24">
        <f>G78/(100-BE78)*100</f>
        <v>0</v>
      </c>
      <c r="BE78" s="24">
        <v>0</v>
      </c>
      <c r="BF78" s="24">
        <f>78</f>
        <v>78</v>
      </c>
      <c r="BH78" s="24">
        <f>F78*AO78</f>
        <v>0</v>
      </c>
      <c r="BI78" s="24">
        <f>F78*AP78</f>
        <v>0</v>
      </c>
      <c r="BJ78" s="24">
        <f>F78*G78</f>
        <v>0</v>
      </c>
      <c r="BK78" s="26" t="s">
        <v>58</v>
      </c>
      <c r="BL78" s="24">
        <v>63</v>
      </c>
      <c r="BW78" s="24">
        <v>21</v>
      </c>
      <c r="BX78" s="4" t="s">
        <v>204</v>
      </c>
    </row>
    <row r="79" spans="1:76" x14ac:dyDescent="0.25">
      <c r="A79" s="2" t="s">
        <v>205</v>
      </c>
      <c r="B79" s="3" t="s">
        <v>206</v>
      </c>
      <c r="C79" s="109" t="s">
        <v>207</v>
      </c>
      <c r="D79" s="106"/>
      <c r="E79" s="3" t="s">
        <v>104</v>
      </c>
      <c r="F79" s="24">
        <v>0.1</v>
      </c>
      <c r="G79" s="24">
        <v>0</v>
      </c>
      <c r="H79" s="24">
        <f>ROUND(F79*AO79,2)</f>
        <v>0</v>
      </c>
      <c r="I79" s="24">
        <f>ROUND(F79*AP79,2)</f>
        <v>0</v>
      </c>
      <c r="J79" s="24">
        <f>ROUND(F79*G79,2)</f>
        <v>0</v>
      </c>
      <c r="K79" s="25" t="s">
        <v>55</v>
      </c>
      <c r="Z79" s="24">
        <f>ROUND(IF(AQ79="5",BJ79,0),2)</f>
        <v>0</v>
      </c>
      <c r="AB79" s="24">
        <f>ROUND(IF(AQ79="1",BH79,0),2)</f>
        <v>0</v>
      </c>
      <c r="AC79" s="24">
        <f>ROUND(IF(AQ79="1",BI79,0),2)</f>
        <v>0</v>
      </c>
      <c r="AD79" s="24">
        <f>ROUND(IF(AQ79="7",BH79,0),2)</f>
        <v>0</v>
      </c>
      <c r="AE79" s="24">
        <f>ROUND(IF(AQ79="7",BI79,0),2)</f>
        <v>0</v>
      </c>
      <c r="AF79" s="24">
        <f>ROUND(IF(AQ79="2",BH79,0),2)</f>
        <v>0</v>
      </c>
      <c r="AG79" s="24">
        <f>ROUND(IF(AQ79="2",BI79,0),2)</f>
        <v>0</v>
      </c>
      <c r="AH79" s="24">
        <f>ROUND(IF(AQ79="0",BJ79,0),2)</f>
        <v>0</v>
      </c>
      <c r="AI79" s="10" t="s">
        <v>48</v>
      </c>
      <c r="AJ79" s="24">
        <f>IF(AN79=0,J79,0)</f>
        <v>0</v>
      </c>
      <c r="AK79" s="24">
        <f>IF(AN79=12,J79,0)</f>
        <v>0</v>
      </c>
      <c r="AL79" s="24">
        <f>IF(AN79=21,J79,0)</f>
        <v>0</v>
      </c>
      <c r="AN79" s="24">
        <v>21</v>
      </c>
      <c r="AO79" s="24">
        <f>G79*0.768899734</f>
        <v>0</v>
      </c>
      <c r="AP79" s="24">
        <f>G79*(1-0.768899734)</f>
        <v>0</v>
      </c>
      <c r="AQ79" s="26" t="s">
        <v>51</v>
      </c>
      <c r="AV79" s="24">
        <f>ROUND(AW79+AX79,2)</f>
        <v>0</v>
      </c>
      <c r="AW79" s="24">
        <f>ROUND(F79*AO79,2)</f>
        <v>0</v>
      </c>
      <c r="AX79" s="24">
        <f>ROUND(F79*AP79,2)</f>
        <v>0</v>
      </c>
      <c r="AY79" s="26" t="s">
        <v>198</v>
      </c>
      <c r="AZ79" s="26" t="s">
        <v>198</v>
      </c>
      <c r="BA79" s="10" t="s">
        <v>57</v>
      </c>
      <c r="BC79" s="24">
        <f>AW79+AX79</f>
        <v>0</v>
      </c>
      <c r="BD79" s="24">
        <f>G79/(100-BE79)*100</f>
        <v>0</v>
      </c>
      <c r="BE79" s="24">
        <v>0</v>
      </c>
      <c r="BF79" s="24">
        <f>79</f>
        <v>79</v>
      </c>
      <c r="BH79" s="24">
        <f>F79*AO79</f>
        <v>0</v>
      </c>
      <c r="BI79" s="24">
        <f>F79*AP79</f>
        <v>0</v>
      </c>
      <c r="BJ79" s="24">
        <f>F79*G79</f>
        <v>0</v>
      </c>
      <c r="BK79" s="26" t="s">
        <v>58</v>
      </c>
      <c r="BL79" s="24">
        <v>63</v>
      </c>
      <c r="BW79" s="24">
        <v>21</v>
      </c>
      <c r="BX79" s="4" t="s">
        <v>207</v>
      </c>
    </row>
    <row r="80" spans="1:76" x14ac:dyDescent="0.25">
      <c r="A80" s="27"/>
      <c r="C80" s="28" t="s">
        <v>208</v>
      </c>
      <c r="D80" s="28" t="s">
        <v>201</v>
      </c>
      <c r="F80" s="29">
        <v>0.1</v>
      </c>
      <c r="K80" s="30"/>
    </row>
    <row r="81" spans="1:76" x14ac:dyDescent="0.25">
      <c r="A81" s="2" t="s">
        <v>209</v>
      </c>
      <c r="B81" s="3" t="s">
        <v>210</v>
      </c>
      <c r="C81" s="109" t="s">
        <v>211</v>
      </c>
      <c r="D81" s="106"/>
      <c r="E81" s="3" t="s">
        <v>84</v>
      </c>
      <c r="F81" s="24">
        <v>74.88</v>
      </c>
      <c r="G81" s="24">
        <v>0</v>
      </c>
      <c r="H81" s="24">
        <f>ROUND(F81*AO81,2)</f>
        <v>0</v>
      </c>
      <c r="I81" s="24">
        <f>ROUND(F81*AP81,2)</f>
        <v>0</v>
      </c>
      <c r="J81" s="24">
        <f>ROUND(F81*G81,2)</f>
        <v>0</v>
      </c>
      <c r="K81" s="25" t="s">
        <v>55</v>
      </c>
      <c r="Z81" s="24">
        <f>ROUND(IF(AQ81="5",BJ81,0),2)</f>
        <v>0</v>
      </c>
      <c r="AB81" s="24">
        <f>ROUND(IF(AQ81="1",BH81,0),2)</f>
        <v>0</v>
      </c>
      <c r="AC81" s="24">
        <f>ROUND(IF(AQ81="1",BI81,0),2)</f>
        <v>0</v>
      </c>
      <c r="AD81" s="24">
        <f>ROUND(IF(AQ81="7",BH81,0),2)</f>
        <v>0</v>
      </c>
      <c r="AE81" s="24">
        <f>ROUND(IF(AQ81="7",BI81,0),2)</f>
        <v>0</v>
      </c>
      <c r="AF81" s="24">
        <f>ROUND(IF(AQ81="2",BH81,0),2)</f>
        <v>0</v>
      </c>
      <c r="AG81" s="24">
        <f>ROUND(IF(AQ81="2",BI81,0),2)</f>
        <v>0</v>
      </c>
      <c r="AH81" s="24">
        <f>ROUND(IF(AQ81="0",BJ81,0),2)</f>
        <v>0</v>
      </c>
      <c r="AI81" s="10" t="s">
        <v>48</v>
      </c>
      <c r="AJ81" s="24">
        <f>IF(AN81=0,J81,0)</f>
        <v>0</v>
      </c>
      <c r="AK81" s="24">
        <f>IF(AN81=12,J81,0)</f>
        <v>0</v>
      </c>
      <c r="AL81" s="24">
        <f>IF(AN81=21,J81,0)</f>
        <v>0</v>
      </c>
      <c r="AN81" s="24">
        <v>21</v>
      </c>
      <c r="AO81" s="24">
        <f>G81*0.431544043</f>
        <v>0</v>
      </c>
      <c r="AP81" s="24">
        <f>G81*(1-0.431544043)</f>
        <v>0</v>
      </c>
      <c r="AQ81" s="26" t="s">
        <v>51</v>
      </c>
      <c r="AV81" s="24">
        <f>ROUND(AW81+AX81,2)</f>
        <v>0</v>
      </c>
      <c r="AW81" s="24">
        <f>ROUND(F81*AO81,2)</f>
        <v>0</v>
      </c>
      <c r="AX81" s="24">
        <f>ROUND(F81*AP81,2)</f>
        <v>0</v>
      </c>
      <c r="AY81" s="26" t="s">
        <v>198</v>
      </c>
      <c r="AZ81" s="26" t="s">
        <v>198</v>
      </c>
      <c r="BA81" s="10" t="s">
        <v>57</v>
      </c>
      <c r="BC81" s="24">
        <f>AW81+AX81</f>
        <v>0</v>
      </c>
      <c r="BD81" s="24">
        <f>G81/(100-BE81)*100</f>
        <v>0</v>
      </c>
      <c r="BE81" s="24">
        <v>0</v>
      </c>
      <c r="BF81" s="24">
        <f>81</f>
        <v>81</v>
      </c>
      <c r="BH81" s="24">
        <f>F81*AO81</f>
        <v>0</v>
      </c>
      <c r="BI81" s="24">
        <f>F81*AP81</f>
        <v>0</v>
      </c>
      <c r="BJ81" s="24">
        <f>F81*G81</f>
        <v>0</v>
      </c>
      <c r="BK81" s="26" t="s">
        <v>58</v>
      </c>
      <c r="BL81" s="24">
        <v>63</v>
      </c>
      <c r="BW81" s="24">
        <v>21</v>
      </c>
      <c r="BX81" s="4" t="s">
        <v>211</v>
      </c>
    </row>
    <row r="82" spans="1:76" x14ac:dyDescent="0.25">
      <c r="A82" s="27"/>
      <c r="C82" s="28" t="s">
        <v>212</v>
      </c>
      <c r="D82" s="28" t="s">
        <v>213</v>
      </c>
      <c r="F82" s="29">
        <v>74.88</v>
      </c>
      <c r="K82" s="30"/>
    </row>
    <row r="83" spans="1:76" x14ac:dyDescent="0.25">
      <c r="A83" s="31" t="s">
        <v>48</v>
      </c>
      <c r="B83" s="32" t="s">
        <v>214</v>
      </c>
      <c r="C83" s="181" t="s">
        <v>215</v>
      </c>
      <c r="D83" s="182"/>
      <c r="E83" s="33" t="s">
        <v>4</v>
      </c>
      <c r="F83" s="33" t="s">
        <v>4</v>
      </c>
      <c r="G83" s="33" t="s">
        <v>4</v>
      </c>
      <c r="H83" s="1">
        <f>ROUND(SUM(H84:H86),2)</f>
        <v>0</v>
      </c>
      <c r="I83" s="1">
        <f>ROUND(SUM(I84:I86),2)</f>
        <v>0</v>
      </c>
      <c r="J83" s="1">
        <f>ROUND(SUM(J84:J86),2)</f>
        <v>0</v>
      </c>
      <c r="K83" s="34" t="s">
        <v>48</v>
      </c>
      <c r="AI83" s="10" t="s">
        <v>48</v>
      </c>
      <c r="AS83" s="1">
        <f>SUM(AJ84:AJ86)</f>
        <v>0</v>
      </c>
      <c r="AT83" s="1">
        <f>SUM(AK84:AK86)</f>
        <v>0</v>
      </c>
      <c r="AU83" s="1">
        <f>SUM(AL84:AL86)</f>
        <v>0</v>
      </c>
    </row>
    <row r="84" spans="1:76" x14ac:dyDescent="0.25">
      <c r="A84" s="2" t="s">
        <v>216</v>
      </c>
      <c r="B84" s="3" t="s">
        <v>217</v>
      </c>
      <c r="C84" s="109" t="s">
        <v>218</v>
      </c>
      <c r="D84" s="106"/>
      <c r="E84" s="3" t="s">
        <v>152</v>
      </c>
      <c r="F84" s="24">
        <v>1</v>
      </c>
      <c r="G84" s="24">
        <v>0</v>
      </c>
      <c r="H84" s="24">
        <f>ROUND(F84*AO84,2)</f>
        <v>0</v>
      </c>
      <c r="I84" s="24">
        <f>ROUND(F84*AP84,2)</f>
        <v>0</v>
      </c>
      <c r="J84" s="24">
        <f>ROUND(F84*G84,2)</f>
        <v>0</v>
      </c>
      <c r="K84" s="25" t="s">
        <v>55</v>
      </c>
      <c r="Z84" s="24">
        <f>ROUND(IF(AQ84="5",BJ84,0),2)</f>
        <v>0</v>
      </c>
      <c r="AB84" s="24">
        <f>ROUND(IF(AQ84="1",BH84,0),2)</f>
        <v>0</v>
      </c>
      <c r="AC84" s="24">
        <f>ROUND(IF(AQ84="1",BI84,0),2)</f>
        <v>0</v>
      </c>
      <c r="AD84" s="24">
        <f>ROUND(IF(AQ84="7",BH84,0),2)</f>
        <v>0</v>
      </c>
      <c r="AE84" s="24">
        <f>ROUND(IF(AQ84="7",BI84,0),2)</f>
        <v>0</v>
      </c>
      <c r="AF84" s="24">
        <f>ROUND(IF(AQ84="2",BH84,0),2)</f>
        <v>0</v>
      </c>
      <c r="AG84" s="24">
        <f>ROUND(IF(AQ84="2",BI84,0),2)</f>
        <v>0</v>
      </c>
      <c r="AH84" s="24">
        <f>ROUND(IF(AQ84="0",BJ84,0),2)</f>
        <v>0</v>
      </c>
      <c r="AI84" s="10" t="s">
        <v>48</v>
      </c>
      <c r="AJ84" s="24">
        <f>IF(AN84=0,J84,0)</f>
        <v>0</v>
      </c>
      <c r="AK84" s="24">
        <f>IF(AN84=12,J84,0)</f>
        <v>0</v>
      </c>
      <c r="AL84" s="24">
        <f>IF(AN84=21,J84,0)</f>
        <v>0</v>
      </c>
      <c r="AN84" s="24">
        <v>21</v>
      </c>
      <c r="AO84" s="24">
        <f>G84*0</f>
        <v>0</v>
      </c>
      <c r="AP84" s="24">
        <f>G84*(1-0)</f>
        <v>0</v>
      </c>
      <c r="AQ84" s="26" t="s">
        <v>51</v>
      </c>
      <c r="AV84" s="24">
        <f>ROUND(AW84+AX84,2)</f>
        <v>0</v>
      </c>
      <c r="AW84" s="24">
        <f>ROUND(F84*AO84,2)</f>
        <v>0</v>
      </c>
      <c r="AX84" s="24">
        <f>ROUND(F84*AP84,2)</f>
        <v>0</v>
      </c>
      <c r="AY84" s="26" t="s">
        <v>219</v>
      </c>
      <c r="AZ84" s="26" t="s">
        <v>219</v>
      </c>
      <c r="BA84" s="10" t="s">
        <v>57</v>
      </c>
      <c r="BC84" s="24">
        <f>AW84+AX84</f>
        <v>0</v>
      </c>
      <c r="BD84" s="24">
        <f>G84/(100-BE84)*100</f>
        <v>0</v>
      </c>
      <c r="BE84" s="24">
        <v>0</v>
      </c>
      <c r="BF84" s="24">
        <f>84</f>
        <v>84</v>
      </c>
      <c r="BH84" s="24">
        <f>F84*AO84</f>
        <v>0</v>
      </c>
      <c r="BI84" s="24">
        <f>F84*AP84</f>
        <v>0</v>
      </c>
      <c r="BJ84" s="24">
        <f>F84*G84</f>
        <v>0</v>
      </c>
      <c r="BK84" s="26" t="s">
        <v>58</v>
      </c>
      <c r="BL84" s="24">
        <v>64</v>
      </c>
      <c r="BW84" s="24">
        <v>21</v>
      </c>
      <c r="BX84" s="4" t="s">
        <v>218</v>
      </c>
    </row>
    <row r="85" spans="1:76" x14ac:dyDescent="0.25">
      <c r="A85" s="27"/>
      <c r="C85" s="28" t="s">
        <v>51</v>
      </c>
      <c r="D85" s="28" t="s">
        <v>220</v>
      </c>
      <c r="F85" s="29">
        <v>1</v>
      </c>
      <c r="K85" s="30"/>
    </row>
    <row r="86" spans="1:76" x14ac:dyDescent="0.25">
      <c r="A86" s="2" t="s">
        <v>221</v>
      </c>
      <c r="B86" s="3" t="s">
        <v>222</v>
      </c>
      <c r="C86" s="109" t="s">
        <v>223</v>
      </c>
      <c r="D86" s="106"/>
      <c r="E86" s="3" t="s">
        <v>152</v>
      </c>
      <c r="F86" s="24">
        <v>1</v>
      </c>
      <c r="G86" s="24">
        <v>0</v>
      </c>
      <c r="H86" s="24">
        <f>ROUND(F86*AO86,2)</f>
        <v>0</v>
      </c>
      <c r="I86" s="24">
        <f>ROUND(F86*AP86,2)</f>
        <v>0</v>
      </c>
      <c r="J86" s="24">
        <f>ROUND(F86*G86,2)</f>
        <v>0</v>
      </c>
      <c r="K86" s="25" t="s">
        <v>55</v>
      </c>
      <c r="Z86" s="24">
        <f>ROUND(IF(AQ86="5",BJ86,0),2)</f>
        <v>0</v>
      </c>
      <c r="AB86" s="24">
        <f>ROUND(IF(AQ86="1",BH86,0),2)</f>
        <v>0</v>
      </c>
      <c r="AC86" s="24">
        <f>ROUND(IF(AQ86="1",BI86,0),2)</f>
        <v>0</v>
      </c>
      <c r="AD86" s="24">
        <f>ROUND(IF(AQ86="7",BH86,0),2)</f>
        <v>0</v>
      </c>
      <c r="AE86" s="24">
        <f>ROUND(IF(AQ86="7",BI86,0),2)</f>
        <v>0</v>
      </c>
      <c r="AF86" s="24">
        <f>ROUND(IF(AQ86="2",BH86,0),2)</f>
        <v>0</v>
      </c>
      <c r="AG86" s="24">
        <f>ROUND(IF(AQ86="2",BI86,0),2)</f>
        <v>0</v>
      </c>
      <c r="AH86" s="24">
        <f>ROUND(IF(AQ86="0",BJ86,0),2)</f>
        <v>0</v>
      </c>
      <c r="AI86" s="10" t="s">
        <v>48</v>
      </c>
      <c r="AJ86" s="24">
        <f>IF(AN86=0,J86,0)</f>
        <v>0</v>
      </c>
      <c r="AK86" s="24">
        <f>IF(AN86=12,J86,0)</f>
        <v>0</v>
      </c>
      <c r="AL86" s="24">
        <f>IF(AN86=21,J86,0)</f>
        <v>0</v>
      </c>
      <c r="AN86" s="24">
        <v>21</v>
      </c>
      <c r="AO86" s="24">
        <f>G86*1</f>
        <v>0</v>
      </c>
      <c r="AP86" s="24">
        <f>G86*(1-1)</f>
        <v>0</v>
      </c>
      <c r="AQ86" s="26" t="s">
        <v>51</v>
      </c>
      <c r="AV86" s="24">
        <f>ROUND(AW86+AX86,2)</f>
        <v>0</v>
      </c>
      <c r="AW86" s="24">
        <f>ROUND(F86*AO86,2)</f>
        <v>0</v>
      </c>
      <c r="AX86" s="24">
        <f>ROUND(F86*AP86,2)</f>
        <v>0</v>
      </c>
      <c r="AY86" s="26" t="s">
        <v>219</v>
      </c>
      <c r="AZ86" s="26" t="s">
        <v>219</v>
      </c>
      <c r="BA86" s="10" t="s">
        <v>57</v>
      </c>
      <c r="BC86" s="24">
        <f>AW86+AX86</f>
        <v>0</v>
      </c>
      <c r="BD86" s="24">
        <f>G86/(100-BE86)*100</f>
        <v>0</v>
      </c>
      <c r="BE86" s="24">
        <v>0</v>
      </c>
      <c r="BF86" s="24">
        <f>86</f>
        <v>86</v>
      </c>
      <c r="BH86" s="24">
        <f>F86*AO86</f>
        <v>0</v>
      </c>
      <c r="BI86" s="24">
        <f>F86*AP86</f>
        <v>0</v>
      </c>
      <c r="BJ86" s="24">
        <f>F86*G86</f>
        <v>0</v>
      </c>
      <c r="BK86" s="26" t="s">
        <v>224</v>
      </c>
      <c r="BL86" s="24">
        <v>64</v>
      </c>
      <c r="BW86" s="24">
        <v>21</v>
      </c>
      <c r="BX86" s="4" t="s">
        <v>223</v>
      </c>
    </row>
    <row r="87" spans="1:76" x14ac:dyDescent="0.25">
      <c r="A87" s="31" t="s">
        <v>48</v>
      </c>
      <c r="B87" s="32" t="s">
        <v>225</v>
      </c>
      <c r="C87" s="181" t="s">
        <v>226</v>
      </c>
      <c r="D87" s="182"/>
      <c r="E87" s="33" t="s">
        <v>4</v>
      </c>
      <c r="F87" s="33" t="s">
        <v>4</v>
      </c>
      <c r="G87" s="33" t="s">
        <v>4</v>
      </c>
      <c r="H87" s="1">
        <f>ROUND(SUM(H88:H88),2)</f>
        <v>0</v>
      </c>
      <c r="I87" s="1">
        <f>ROUND(SUM(I88:I88),2)</f>
        <v>0</v>
      </c>
      <c r="J87" s="1">
        <f>ROUND(SUM(J88:J88),2)</f>
        <v>0</v>
      </c>
      <c r="K87" s="34" t="s">
        <v>48</v>
      </c>
      <c r="AI87" s="10" t="s">
        <v>48</v>
      </c>
      <c r="AS87" s="1">
        <f>SUM(AJ88:AJ88)</f>
        <v>0</v>
      </c>
      <c r="AT87" s="1">
        <f>SUM(AK88:AK88)</f>
        <v>0</v>
      </c>
      <c r="AU87" s="1">
        <f>SUM(AL88:AL88)</f>
        <v>0</v>
      </c>
    </row>
    <row r="88" spans="1:76" x14ac:dyDescent="0.25">
      <c r="A88" s="2" t="s">
        <v>227</v>
      </c>
      <c r="B88" s="3" t="s">
        <v>228</v>
      </c>
      <c r="C88" s="109" t="s">
        <v>229</v>
      </c>
      <c r="D88" s="106"/>
      <c r="E88" s="3" t="s">
        <v>84</v>
      </c>
      <c r="F88" s="24">
        <v>36.4</v>
      </c>
      <c r="G88" s="24">
        <v>0</v>
      </c>
      <c r="H88" s="24">
        <f>ROUND(F88*AO88,2)</f>
        <v>0</v>
      </c>
      <c r="I88" s="24">
        <f>ROUND(F88*AP88,2)</f>
        <v>0</v>
      </c>
      <c r="J88" s="24">
        <f>ROUND(F88*G88,2)</f>
        <v>0</v>
      </c>
      <c r="K88" s="25" t="s">
        <v>55</v>
      </c>
      <c r="Z88" s="24">
        <f>ROUND(IF(AQ88="5",BJ88,0),2)</f>
        <v>0</v>
      </c>
      <c r="AB88" s="24">
        <f>ROUND(IF(AQ88="1",BH88,0),2)</f>
        <v>0</v>
      </c>
      <c r="AC88" s="24">
        <f>ROUND(IF(AQ88="1",BI88,0),2)</f>
        <v>0</v>
      </c>
      <c r="AD88" s="24">
        <f>ROUND(IF(AQ88="7",BH88,0),2)</f>
        <v>0</v>
      </c>
      <c r="AE88" s="24">
        <f>ROUND(IF(AQ88="7",BI88,0),2)</f>
        <v>0</v>
      </c>
      <c r="AF88" s="24">
        <f>ROUND(IF(AQ88="2",BH88,0),2)</f>
        <v>0</v>
      </c>
      <c r="AG88" s="24">
        <f>ROUND(IF(AQ88="2",BI88,0),2)</f>
        <v>0</v>
      </c>
      <c r="AH88" s="24">
        <f>ROUND(IF(AQ88="0",BJ88,0),2)</f>
        <v>0</v>
      </c>
      <c r="AI88" s="10" t="s">
        <v>48</v>
      </c>
      <c r="AJ88" s="24">
        <f>IF(AN88=0,J88,0)</f>
        <v>0</v>
      </c>
      <c r="AK88" s="24">
        <f>IF(AN88=12,J88,0)</f>
        <v>0</v>
      </c>
      <c r="AL88" s="24">
        <f>IF(AN88=21,J88,0)</f>
        <v>0</v>
      </c>
      <c r="AN88" s="24">
        <v>21</v>
      </c>
      <c r="AO88" s="24">
        <f>G88*0</f>
        <v>0</v>
      </c>
      <c r="AP88" s="24">
        <f>G88*(1-0)</f>
        <v>0</v>
      </c>
      <c r="AQ88" s="26" t="s">
        <v>90</v>
      </c>
      <c r="AV88" s="24">
        <f>ROUND(AW88+AX88,2)</f>
        <v>0</v>
      </c>
      <c r="AW88" s="24">
        <f>ROUND(F88*AO88,2)</f>
        <v>0</v>
      </c>
      <c r="AX88" s="24">
        <f>ROUND(F88*AP88,2)</f>
        <v>0</v>
      </c>
      <c r="AY88" s="26" t="s">
        <v>230</v>
      </c>
      <c r="AZ88" s="26" t="s">
        <v>230</v>
      </c>
      <c r="BA88" s="10" t="s">
        <v>57</v>
      </c>
      <c r="BC88" s="24">
        <f>AW88+AX88</f>
        <v>0</v>
      </c>
      <c r="BD88" s="24">
        <f>G88/(100-BE88)*100</f>
        <v>0</v>
      </c>
      <c r="BE88" s="24">
        <v>0</v>
      </c>
      <c r="BF88" s="24">
        <f>88</f>
        <v>88</v>
      </c>
      <c r="BH88" s="24">
        <f>F88*AO88</f>
        <v>0</v>
      </c>
      <c r="BI88" s="24">
        <f>F88*AP88</f>
        <v>0</v>
      </c>
      <c r="BJ88" s="24">
        <f>F88*G88</f>
        <v>0</v>
      </c>
      <c r="BK88" s="26" t="s">
        <v>58</v>
      </c>
      <c r="BL88" s="24">
        <v>711</v>
      </c>
      <c r="BW88" s="24">
        <v>21</v>
      </c>
      <c r="BX88" s="4" t="s">
        <v>229</v>
      </c>
    </row>
    <row r="89" spans="1:76" x14ac:dyDescent="0.25">
      <c r="A89" s="27"/>
      <c r="C89" s="28" t="s">
        <v>86</v>
      </c>
      <c r="D89" s="28" t="s">
        <v>167</v>
      </c>
      <c r="F89" s="29">
        <v>36.4</v>
      </c>
      <c r="K89" s="30"/>
    </row>
    <row r="90" spans="1:76" x14ac:dyDescent="0.25">
      <c r="A90" s="31" t="s">
        <v>48</v>
      </c>
      <c r="B90" s="32" t="s">
        <v>231</v>
      </c>
      <c r="C90" s="181" t="s">
        <v>232</v>
      </c>
      <c r="D90" s="182"/>
      <c r="E90" s="33" t="s">
        <v>4</v>
      </c>
      <c r="F90" s="33" t="s">
        <v>4</v>
      </c>
      <c r="G90" s="33" t="s">
        <v>4</v>
      </c>
      <c r="H90" s="1">
        <f>ROUND(SUM(H91:H113),2)</f>
        <v>0</v>
      </c>
      <c r="I90" s="1">
        <f>ROUND(SUM(I91:I113),2)</f>
        <v>0</v>
      </c>
      <c r="J90" s="1">
        <f>ROUND(SUM(J91:J113),2)</f>
        <v>0</v>
      </c>
      <c r="K90" s="34" t="s">
        <v>48</v>
      </c>
      <c r="AI90" s="10" t="s">
        <v>48</v>
      </c>
      <c r="AS90" s="1">
        <f>SUM(AJ91:AJ113)</f>
        <v>0</v>
      </c>
      <c r="AT90" s="1">
        <f>SUM(AK91:AK113)</f>
        <v>0</v>
      </c>
      <c r="AU90" s="1">
        <f>SUM(AL91:AL113)</f>
        <v>0</v>
      </c>
    </row>
    <row r="91" spans="1:76" x14ac:dyDescent="0.25">
      <c r="A91" s="2" t="s">
        <v>233</v>
      </c>
      <c r="B91" s="3" t="s">
        <v>234</v>
      </c>
      <c r="C91" s="109" t="s">
        <v>235</v>
      </c>
      <c r="D91" s="106"/>
      <c r="E91" s="3" t="s">
        <v>84</v>
      </c>
      <c r="F91" s="24">
        <v>41.94</v>
      </c>
      <c r="G91" s="24">
        <v>0</v>
      </c>
      <c r="H91" s="24">
        <f>ROUND(F91*AO91,2)</f>
        <v>0</v>
      </c>
      <c r="I91" s="24">
        <f>ROUND(F91*AP91,2)</f>
        <v>0</v>
      </c>
      <c r="J91" s="24">
        <f>ROUND(F91*G91,2)</f>
        <v>0</v>
      </c>
      <c r="K91" s="25" t="s">
        <v>55</v>
      </c>
      <c r="Z91" s="24">
        <f>ROUND(IF(AQ91="5",BJ91,0),2)</f>
        <v>0</v>
      </c>
      <c r="AB91" s="24">
        <f>ROUND(IF(AQ91="1",BH91,0),2)</f>
        <v>0</v>
      </c>
      <c r="AC91" s="24">
        <f>ROUND(IF(AQ91="1",BI91,0),2)</f>
        <v>0</v>
      </c>
      <c r="AD91" s="24">
        <f>ROUND(IF(AQ91="7",BH91,0),2)</f>
        <v>0</v>
      </c>
      <c r="AE91" s="24">
        <f>ROUND(IF(AQ91="7",BI91,0),2)</f>
        <v>0</v>
      </c>
      <c r="AF91" s="24">
        <f>ROUND(IF(AQ91="2",BH91,0),2)</f>
        <v>0</v>
      </c>
      <c r="AG91" s="24">
        <f>ROUND(IF(AQ91="2",BI91,0),2)</f>
        <v>0</v>
      </c>
      <c r="AH91" s="24">
        <f>ROUND(IF(AQ91="0",BJ91,0),2)</f>
        <v>0</v>
      </c>
      <c r="AI91" s="10" t="s">
        <v>48</v>
      </c>
      <c r="AJ91" s="24">
        <f>IF(AN91=0,J91,0)</f>
        <v>0</v>
      </c>
      <c r="AK91" s="24">
        <f>IF(AN91=12,J91,0)</f>
        <v>0</v>
      </c>
      <c r="AL91" s="24">
        <f>IF(AN91=21,J91,0)</f>
        <v>0</v>
      </c>
      <c r="AN91" s="24">
        <v>21</v>
      </c>
      <c r="AO91" s="24">
        <f>G91*0</f>
        <v>0</v>
      </c>
      <c r="AP91" s="24">
        <f>G91*(1-0)</f>
        <v>0</v>
      </c>
      <c r="AQ91" s="26" t="s">
        <v>90</v>
      </c>
      <c r="AV91" s="24">
        <f>ROUND(AW91+AX91,2)</f>
        <v>0</v>
      </c>
      <c r="AW91" s="24">
        <f>ROUND(F91*AO91,2)</f>
        <v>0</v>
      </c>
      <c r="AX91" s="24">
        <f>ROUND(F91*AP91,2)</f>
        <v>0</v>
      </c>
      <c r="AY91" s="26" t="s">
        <v>236</v>
      </c>
      <c r="AZ91" s="26" t="s">
        <v>236</v>
      </c>
      <c r="BA91" s="10" t="s">
        <v>57</v>
      </c>
      <c r="BC91" s="24">
        <f>AW91+AX91</f>
        <v>0</v>
      </c>
      <c r="BD91" s="24">
        <f>G91/(100-BE91)*100</f>
        <v>0</v>
      </c>
      <c r="BE91" s="24">
        <v>0</v>
      </c>
      <c r="BF91" s="24">
        <f>91</f>
        <v>91</v>
      </c>
      <c r="BH91" s="24">
        <f>F91*AO91</f>
        <v>0</v>
      </c>
      <c r="BI91" s="24">
        <f>F91*AP91</f>
        <v>0</v>
      </c>
      <c r="BJ91" s="24">
        <f>F91*G91</f>
        <v>0</v>
      </c>
      <c r="BK91" s="26" t="s">
        <v>58</v>
      </c>
      <c r="BL91" s="24">
        <v>713</v>
      </c>
      <c r="BW91" s="24">
        <v>21</v>
      </c>
      <c r="BX91" s="4" t="s">
        <v>235</v>
      </c>
    </row>
    <row r="92" spans="1:76" x14ac:dyDescent="0.25">
      <c r="A92" s="27"/>
      <c r="C92" s="28" t="s">
        <v>237</v>
      </c>
      <c r="D92" s="28" t="s">
        <v>238</v>
      </c>
      <c r="F92" s="29">
        <v>41.94</v>
      </c>
      <c r="K92" s="30"/>
    </row>
    <row r="93" spans="1:76" x14ac:dyDescent="0.25">
      <c r="A93" s="2" t="s">
        <v>239</v>
      </c>
      <c r="B93" s="3" t="s">
        <v>240</v>
      </c>
      <c r="C93" s="109" t="s">
        <v>241</v>
      </c>
      <c r="D93" s="106"/>
      <c r="E93" s="3" t="s">
        <v>84</v>
      </c>
      <c r="F93" s="24">
        <v>46.13</v>
      </c>
      <c r="G93" s="24">
        <v>0</v>
      </c>
      <c r="H93" s="24">
        <f>ROUND(F93*AO93,2)</f>
        <v>0</v>
      </c>
      <c r="I93" s="24">
        <f>ROUND(F93*AP93,2)</f>
        <v>0</v>
      </c>
      <c r="J93" s="24">
        <f>ROUND(F93*G93,2)</f>
        <v>0</v>
      </c>
      <c r="K93" s="25" t="s">
        <v>55</v>
      </c>
      <c r="Z93" s="24">
        <f>ROUND(IF(AQ93="5",BJ93,0),2)</f>
        <v>0</v>
      </c>
      <c r="AB93" s="24">
        <f>ROUND(IF(AQ93="1",BH93,0),2)</f>
        <v>0</v>
      </c>
      <c r="AC93" s="24">
        <f>ROUND(IF(AQ93="1",BI93,0),2)</f>
        <v>0</v>
      </c>
      <c r="AD93" s="24">
        <f>ROUND(IF(AQ93="7",BH93,0),2)</f>
        <v>0</v>
      </c>
      <c r="AE93" s="24">
        <f>ROUND(IF(AQ93="7",BI93,0),2)</f>
        <v>0</v>
      </c>
      <c r="AF93" s="24">
        <f>ROUND(IF(AQ93="2",BH93,0),2)</f>
        <v>0</v>
      </c>
      <c r="AG93" s="24">
        <f>ROUND(IF(AQ93="2",BI93,0),2)</f>
        <v>0</v>
      </c>
      <c r="AH93" s="24">
        <f>ROUND(IF(AQ93="0",BJ93,0),2)</f>
        <v>0</v>
      </c>
      <c r="AI93" s="10" t="s">
        <v>48</v>
      </c>
      <c r="AJ93" s="24">
        <f>IF(AN93=0,J93,0)</f>
        <v>0</v>
      </c>
      <c r="AK93" s="24">
        <f>IF(AN93=12,J93,0)</f>
        <v>0</v>
      </c>
      <c r="AL93" s="24">
        <f>IF(AN93=21,J93,0)</f>
        <v>0</v>
      </c>
      <c r="AN93" s="24">
        <v>21</v>
      </c>
      <c r="AO93" s="24">
        <f>G93*1</f>
        <v>0</v>
      </c>
      <c r="AP93" s="24">
        <f>G93*(1-1)</f>
        <v>0</v>
      </c>
      <c r="AQ93" s="26" t="s">
        <v>90</v>
      </c>
      <c r="AV93" s="24">
        <f>ROUND(AW93+AX93,2)</f>
        <v>0</v>
      </c>
      <c r="AW93" s="24">
        <f>ROUND(F93*AO93,2)</f>
        <v>0</v>
      </c>
      <c r="AX93" s="24">
        <f>ROUND(F93*AP93,2)</f>
        <v>0</v>
      </c>
      <c r="AY93" s="26" t="s">
        <v>236</v>
      </c>
      <c r="AZ93" s="26" t="s">
        <v>236</v>
      </c>
      <c r="BA93" s="10" t="s">
        <v>57</v>
      </c>
      <c r="BC93" s="24">
        <f>AW93+AX93</f>
        <v>0</v>
      </c>
      <c r="BD93" s="24">
        <f>G93/(100-BE93)*100</f>
        <v>0</v>
      </c>
      <c r="BE93" s="24">
        <v>0</v>
      </c>
      <c r="BF93" s="24">
        <f>93</f>
        <v>93</v>
      </c>
      <c r="BH93" s="24">
        <f>F93*AO93</f>
        <v>0</v>
      </c>
      <c r="BI93" s="24">
        <f>F93*AP93</f>
        <v>0</v>
      </c>
      <c r="BJ93" s="24">
        <f>F93*G93</f>
        <v>0</v>
      </c>
      <c r="BK93" s="26" t="s">
        <v>224</v>
      </c>
      <c r="BL93" s="24">
        <v>713</v>
      </c>
      <c r="BW93" s="24">
        <v>21</v>
      </c>
      <c r="BX93" s="4" t="s">
        <v>241</v>
      </c>
    </row>
    <row r="94" spans="1:76" x14ac:dyDescent="0.25">
      <c r="A94" s="27"/>
      <c r="C94" s="28" t="s">
        <v>237</v>
      </c>
      <c r="D94" s="28" t="s">
        <v>48</v>
      </c>
      <c r="F94" s="29">
        <v>41.94</v>
      </c>
      <c r="K94" s="30"/>
    </row>
    <row r="95" spans="1:76" x14ac:dyDescent="0.25">
      <c r="A95" s="27"/>
      <c r="C95" s="28" t="s">
        <v>242</v>
      </c>
      <c r="D95" s="28" t="s">
        <v>48</v>
      </c>
      <c r="F95" s="29">
        <v>4.1900000000000004</v>
      </c>
      <c r="K95" s="30"/>
    </row>
    <row r="96" spans="1:76" x14ac:dyDescent="0.25">
      <c r="A96" s="2" t="s">
        <v>243</v>
      </c>
      <c r="B96" s="3" t="s">
        <v>244</v>
      </c>
      <c r="C96" s="109" t="s">
        <v>245</v>
      </c>
      <c r="D96" s="106"/>
      <c r="E96" s="3" t="s">
        <v>84</v>
      </c>
      <c r="F96" s="24">
        <v>32.94</v>
      </c>
      <c r="G96" s="24">
        <v>0</v>
      </c>
      <c r="H96" s="24">
        <f>ROUND(F96*AO96,2)</f>
        <v>0</v>
      </c>
      <c r="I96" s="24">
        <f>ROUND(F96*AP96,2)</f>
        <v>0</v>
      </c>
      <c r="J96" s="24">
        <f>ROUND(F96*G96,2)</f>
        <v>0</v>
      </c>
      <c r="K96" s="25" t="s">
        <v>55</v>
      </c>
      <c r="Z96" s="24">
        <f>ROUND(IF(AQ96="5",BJ96,0),2)</f>
        <v>0</v>
      </c>
      <c r="AB96" s="24">
        <f>ROUND(IF(AQ96="1",BH96,0),2)</f>
        <v>0</v>
      </c>
      <c r="AC96" s="24">
        <f>ROUND(IF(AQ96="1",BI96,0),2)</f>
        <v>0</v>
      </c>
      <c r="AD96" s="24">
        <f>ROUND(IF(AQ96="7",BH96,0),2)</f>
        <v>0</v>
      </c>
      <c r="AE96" s="24">
        <f>ROUND(IF(AQ96="7",BI96,0),2)</f>
        <v>0</v>
      </c>
      <c r="AF96" s="24">
        <f>ROUND(IF(AQ96="2",BH96,0),2)</f>
        <v>0</v>
      </c>
      <c r="AG96" s="24">
        <f>ROUND(IF(AQ96="2",BI96,0),2)</f>
        <v>0</v>
      </c>
      <c r="AH96" s="24">
        <f>ROUND(IF(AQ96="0",BJ96,0),2)</f>
        <v>0</v>
      </c>
      <c r="AI96" s="10" t="s">
        <v>48</v>
      </c>
      <c r="AJ96" s="24">
        <f>IF(AN96=0,J96,0)</f>
        <v>0</v>
      </c>
      <c r="AK96" s="24">
        <f>IF(AN96=12,J96,0)</f>
        <v>0</v>
      </c>
      <c r="AL96" s="24">
        <f>IF(AN96=21,J96,0)</f>
        <v>0</v>
      </c>
      <c r="AN96" s="24">
        <v>21</v>
      </c>
      <c r="AO96" s="24">
        <f>G96*0.20037669</f>
        <v>0</v>
      </c>
      <c r="AP96" s="24">
        <f>G96*(1-0.20037669)</f>
        <v>0</v>
      </c>
      <c r="AQ96" s="26" t="s">
        <v>90</v>
      </c>
      <c r="AV96" s="24">
        <f>ROUND(AW96+AX96,2)</f>
        <v>0</v>
      </c>
      <c r="AW96" s="24">
        <f>ROUND(F96*AO96,2)</f>
        <v>0</v>
      </c>
      <c r="AX96" s="24">
        <f>ROUND(F96*AP96,2)</f>
        <v>0</v>
      </c>
      <c r="AY96" s="26" t="s">
        <v>236</v>
      </c>
      <c r="AZ96" s="26" t="s">
        <v>236</v>
      </c>
      <c r="BA96" s="10" t="s">
        <v>57</v>
      </c>
      <c r="BC96" s="24">
        <f>AW96+AX96</f>
        <v>0</v>
      </c>
      <c r="BD96" s="24">
        <f>G96/(100-BE96)*100</f>
        <v>0</v>
      </c>
      <c r="BE96" s="24">
        <v>0</v>
      </c>
      <c r="BF96" s="24">
        <f>96</f>
        <v>96</v>
      </c>
      <c r="BH96" s="24">
        <f>F96*AO96</f>
        <v>0</v>
      </c>
      <c r="BI96" s="24">
        <f>F96*AP96</f>
        <v>0</v>
      </c>
      <c r="BJ96" s="24">
        <f>F96*G96</f>
        <v>0</v>
      </c>
      <c r="BK96" s="26" t="s">
        <v>58</v>
      </c>
      <c r="BL96" s="24">
        <v>713</v>
      </c>
      <c r="BW96" s="24">
        <v>21</v>
      </c>
      <c r="BX96" s="4" t="s">
        <v>245</v>
      </c>
    </row>
    <row r="97" spans="1:76" x14ac:dyDescent="0.25">
      <c r="A97" s="27"/>
      <c r="C97" s="28" t="s">
        <v>144</v>
      </c>
      <c r="D97" s="28" t="s">
        <v>167</v>
      </c>
      <c r="F97" s="29">
        <v>32.94</v>
      </c>
      <c r="K97" s="30"/>
    </row>
    <row r="98" spans="1:76" x14ac:dyDescent="0.25">
      <c r="A98" s="2" t="s">
        <v>246</v>
      </c>
      <c r="B98" s="3" t="s">
        <v>247</v>
      </c>
      <c r="C98" s="109" t="s">
        <v>248</v>
      </c>
      <c r="D98" s="106"/>
      <c r="E98" s="3" t="s">
        <v>84</v>
      </c>
      <c r="F98" s="24">
        <v>34.590000000000003</v>
      </c>
      <c r="G98" s="24">
        <v>0</v>
      </c>
      <c r="H98" s="24">
        <f>ROUND(F98*AO98,2)</f>
        <v>0</v>
      </c>
      <c r="I98" s="24">
        <f>ROUND(F98*AP98,2)</f>
        <v>0</v>
      </c>
      <c r="J98" s="24">
        <f>ROUND(F98*G98,2)</f>
        <v>0</v>
      </c>
      <c r="K98" s="25" t="s">
        <v>55</v>
      </c>
      <c r="Z98" s="24">
        <f>ROUND(IF(AQ98="5",BJ98,0),2)</f>
        <v>0</v>
      </c>
      <c r="AB98" s="24">
        <f>ROUND(IF(AQ98="1",BH98,0),2)</f>
        <v>0</v>
      </c>
      <c r="AC98" s="24">
        <f>ROUND(IF(AQ98="1",BI98,0),2)</f>
        <v>0</v>
      </c>
      <c r="AD98" s="24">
        <f>ROUND(IF(AQ98="7",BH98,0),2)</f>
        <v>0</v>
      </c>
      <c r="AE98" s="24">
        <f>ROUND(IF(AQ98="7",BI98,0),2)</f>
        <v>0</v>
      </c>
      <c r="AF98" s="24">
        <f>ROUND(IF(AQ98="2",BH98,0),2)</f>
        <v>0</v>
      </c>
      <c r="AG98" s="24">
        <f>ROUND(IF(AQ98="2",BI98,0),2)</f>
        <v>0</v>
      </c>
      <c r="AH98" s="24">
        <f>ROUND(IF(AQ98="0",BJ98,0),2)</f>
        <v>0</v>
      </c>
      <c r="AI98" s="10" t="s">
        <v>48</v>
      </c>
      <c r="AJ98" s="24">
        <f>IF(AN98=0,J98,0)</f>
        <v>0</v>
      </c>
      <c r="AK98" s="24">
        <f>IF(AN98=12,J98,0)</f>
        <v>0</v>
      </c>
      <c r="AL98" s="24">
        <f>IF(AN98=21,J98,0)</f>
        <v>0</v>
      </c>
      <c r="AN98" s="24">
        <v>21</v>
      </c>
      <c r="AO98" s="24">
        <f>G98*1</f>
        <v>0</v>
      </c>
      <c r="AP98" s="24">
        <f>G98*(1-1)</f>
        <v>0</v>
      </c>
      <c r="AQ98" s="26" t="s">
        <v>90</v>
      </c>
      <c r="AV98" s="24">
        <f>ROUND(AW98+AX98,2)</f>
        <v>0</v>
      </c>
      <c r="AW98" s="24">
        <f>ROUND(F98*AO98,2)</f>
        <v>0</v>
      </c>
      <c r="AX98" s="24">
        <f>ROUND(F98*AP98,2)</f>
        <v>0</v>
      </c>
      <c r="AY98" s="26" t="s">
        <v>236</v>
      </c>
      <c r="AZ98" s="26" t="s">
        <v>236</v>
      </c>
      <c r="BA98" s="10" t="s">
        <v>57</v>
      </c>
      <c r="BC98" s="24">
        <f>AW98+AX98</f>
        <v>0</v>
      </c>
      <c r="BD98" s="24">
        <f>G98/(100-BE98)*100</f>
        <v>0</v>
      </c>
      <c r="BE98" s="24">
        <v>0</v>
      </c>
      <c r="BF98" s="24">
        <f>98</f>
        <v>98</v>
      </c>
      <c r="BH98" s="24">
        <f>F98*AO98</f>
        <v>0</v>
      </c>
      <c r="BI98" s="24">
        <f>F98*AP98</f>
        <v>0</v>
      </c>
      <c r="BJ98" s="24">
        <f>F98*G98</f>
        <v>0</v>
      </c>
      <c r="BK98" s="26" t="s">
        <v>224</v>
      </c>
      <c r="BL98" s="24">
        <v>713</v>
      </c>
      <c r="BW98" s="24">
        <v>21</v>
      </c>
      <c r="BX98" s="4" t="s">
        <v>248</v>
      </c>
    </row>
    <row r="99" spans="1:76" x14ac:dyDescent="0.25">
      <c r="A99" s="27"/>
      <c r="C99" s="28" t="s">
        <v>144</v>
      </c>
      <c r="D99" s="28" t="s">
        <v>48</v>
      </c>
      <c r="F99" s="29">
        <v>32.94</v>
      </c>
      <c r="K99" s="30"/>
    </row>
    <row r="100" spans="1:76" x14ac:dyDescent="0.25">
      <c r="A100" s="27"/>
      <c r="C100" s="28" t="s">
        <v>249</v>
      </c>
      <c r="D100" s="28" t="s">
        <v>48</v>
      </c>
      <c r="F100" s="29">
        <v>1.65</v>
      </c>
      <c r="K100" s="30"/>
    </row>
    <row r="101" spans="1:76" x14ac:dyDescent="0.25">
      <c r="A101" s="2" t="s">
        <v>250</v>
      </c>
      <c r="B101" s="3" t="s">
        <v>251</v>
      </c>
      <c r="C101" s="109" t="s">
        <v>252</v>
      </c>
      <c r="D101" s="106"/>
      <c r="E101" s="3" t="s">
        <v>84</v>
      </c>
      <c r="F101" s="24">
        <v>41.94</v>
      </c>
      <c r="G101" s="24">
        <v>0</v>
      </c>
      <c r="H101" s="24">
        <f>ROUND(F101*AO101,2)</f>
        <v>0</v>
      </c>
      <c r="I101" s="24">
        <f>ROUND(F101*AP101,2)</f>
        <v>0</v>
      </c>
      <c r="J101" s="24">
        <f>ROUND(F101*G101,2)</f>
        <v>0</v>
      </c>
      <c r="K101" s="25" t="s">
        <v>55</v>
      </c>
      <c r="Z101" s="24">
        <f>ROUND(IF(AQ101="5",BJ101,0),2)</f>
        <v>0</v>
      </c>
      <c r="AB101" s="24">
        <f>ROUND(IF(AQ101="1",BH101,0),2)</f>
        <v>0</v>
      </c>
      <c r="AC101" s="24">
        <f>ROUND(IF(AQ101="1",BI101,0),2)</f>
        <v>0</v>
      </c>
      <c r="AD101" s="24">
        <f>ROUND(IF(AQ101="7",BH101,0),2)</f>
        <v>0</v>
      </c>
      <c r="AE101" s="24">
        <f>ROUND(IF(AQ101="7",BI101,0),2)</f>
        <v>0</v>
      </c>
      <c r="AF101" s="24">
        <f>ROUND(IF(AQ101="2",BH101,0),2)</f>
        <v>0</v>
      </c>
      <c r="AG101" s="24">
        <f>ROUND(IF(AQ101="2",BI101,0),2)</f>
        <v>0</v>
      </c>
      <c r="AH101" s="24">
        <f>ROUND(IF(AQ101="0",BJ101,0),2)</f>
        <v>0</v>
      </c>
      <c r="AI101" s="10" t="s">
        <v>48</v>
      </c>
      <c r="AJ101" s="24">
        <f>IF(AN101=0,J101,0)</f>
        <v>0</v>
      </c>
      <c r="AK101" s="24">
        <f>IF(AN101=12,J101,0)</f>
        <v>0</v>
      </c>
      <c r="AL101" s="24">
        <f>IF(AN101=21,J101,0)</f>
        <v>0</v>
      </c>
      <c r="AN101" s="24">
        <v>21</v>
      </c>
      <c r="AO101" s="24">
        <f>G101*0</f>
        <v>0</v>
      </c>
      <c r="AP101" s="24">
        <f>G101*(1-0)</f>
        <v>0</v>
      </c>
      <c r="AQ101" s="26" t="s">
        <v>90</v>
      </c>
      <c r="AV101" s="24">
        <f>ROUND(AW101+AX101,2)</f>
        <v>0</v>
      </c>
      <c r="AW101" s="24">
        <f>ROUND(F101*AO101,2)</f>
        <v>0</v>
      </c>
      <c r="AX101" s="24">
        <f>ROUND(F101*AP101,2)</f>
        <v>0</v>
      </c>
      <c r="AY101" s="26" t="s">
        <v>236</v>
      </c>
      <c r="AZ101" s="26" t="s">
        <v>236</v>
      </c>
      <c r="BA101" s="10" t="s">
        <v>57</v>
      </c>
      <c r="BC101" s="24">
        <f>AW101+AX101</f>
        <v>0</v>
      </c>
      <c r="BD101" s="24">
        <f>G101/(100-BE101)*100</f>
        <v>0</v>
      </c>
      <c r="BE101" s="24">
        <v>0</v>
      </c>
      <c r="BF101" s="24">
        <f>101</f>
        <v>101</v>
      </c>
      <c r="BH101" s="24">
        <f>F101*AO101</f>
        <v>0</v>
      </c>
      <c r="BI101" s="24">
        <f>F101*AP101</f>
        <v>0</v>
      </c>
      <c r="BJ101" s="24">
        <f>F101*G101</f>
        <v>0</v>
      </c>
      <c r="BK101" s="26" t="s">
        <v>58</v>
      </c>
      <c r="BL101" s="24">
        <v>713</v>
      </c>
      <c r="BW101" s="24">
        <v>21</v>
      </c>
      <c r="BX101" s="4" t="s">
        <v>252</v>
      </c>
    </row>
    <row r="102" spans="1:76" x14ac:dyDescent="0.25">
      <c r="A102" s="27"/>
      <c r="C102" s="28" t="s">
        <v>237</v>
      </c>
      <c r="D102" s="28" t="s">
        <v>201</v>
      </c>
      <c r="F102" s="29">
        <v>41.94</v>
      </c>
      <c r="K102" s="30"/>
    </row>
    <row r="103" spans="1:76" x14ac:dyDescent="0.25">
      <c r="A103" s="2" t="s">
        <v>135</v>
      </c>
      <c r="B103" s="3" t="s">
        <v>253</v>
      </c>
      <c r="C103" s="109" t="s">
        <v>254</v>
      </c>
      <c r="D103" s="106"/>
      <c r="E103" s="3" t="s">
        <v>84</v>
      </c>
      <c r="F103" s="24">
        <v>44.04</v>
      </c>
      <c r="G103" s="24">
        <v>0</v>
      </c>
      <c r="H103" s="24">
        <f>ROUND(F103*AO103,2)</f>
        <v>0</v>
      </c>
      <c r="I103" s="24">
        <f>ROUND(F103*AP103,2)</f>
        <v>0</v>
      </c>
      <c r="J103" s="24">
        <f>ROUND(F103*G103,2)</f>
        <v>0</v>
      </c>
      <c r="K103" s="25" t="s">
        <v>55</v>
      </c>
      <c r="Z103" s="24">
        <f>ROUND(IF(AQ103="5",BJ103,0),2)</f>
        <v>0</v>
      </c>
      <c r="AB103" s="24">
        <f>ROUND(IF(AQ103="1",BH103,0),2)</f>
        <v>0</v>
      </c>
      <c r="AC103" s="24">
        <f>ROUND(IF(AQ103="1",BI103,0),2)</f>
        <v>0</v>
      </c>
      <c r="AD103" s="24">
        <f>ROUND(IF(AQ103="7",BH103,0),2)</f>
        <v>0</v>
      </c>
      <c r="AE103" s="24">
        <f>ROUND(IF(AQ103="7",BI103,0),2)</f>
        <v>0</v>
      </c>
      <c r="AF103" s="24">
        <f>ROUND(IF(AQ103="2",BH103,0),2)</f>
        <v>0</v>
      </c>
      <c r="AG103" s="24">
        <f>ROUND(IF(AQ103="2",BI103,0),2)</f>
        <v>0</v>
      </c>
      <c r="AH103" s="24">
        <f>ROUND(IF(AQ103="0",BJ103,0),2)</f>
        <v>0</v>
      </c>
      <c r="AI103" s="10" t="s">
        <v>48</v>
      </c>
      <c r="AJ103" s="24">
        <f>IF(AN103=0,J103,0)</f>
        <v>0</v>
      </c>
      <c r="AK103" s="24">
        <f>IF(AN103=12,J103,0)</f>
        <v>0</v>
      </c>
      <c r="AL103" s="24">
        <f>IF(AN103=21,J103,0)</f>
        <v>0</v>
      </c>
      <c r="AN103" s="24">
        <v>21</v>
      </c>
      <c r="AO103" s="24">
        <f>G103*1</f>
        <v>0</v>
      </c>
      <c r="AP103" s="24">
        <f>G103*(1-1)</f>
        <v>0</v>
      </c>
      <c r="AQ103" s="26" t="s">
        <v>90</v>
      </c>
      <c r="AV103" s="24">
        <f>ROUND(AW103+AX103,2)</f>
        <v>0</v>
      </c>
      <c r="AW103" s="24">
        <f>ROUND(F103*AO103,2)</f>
        <v>0</v>
      </c>
      <c r="AX103" s="24">
        <f>ROUND(F103*AP103,2)</f>
        <v>0</v>
      </c>
      <c r="AY103" s="26" t="s">
        <v>236</v>
      </c>
      <c r="AZ103" s="26" t="s">
        <v>236</v>
      </c>
      <c r="BA103" s="10" t="s">
        <v>57</v>
      </c>
      <c r="BC103" s="24">
        <f>AW103+AX103</f>
        <v>0</v>
      </c>
      <c r="BD103" s="24">
        <f>G103/(100-BE103)*100</f>
        <v>0</v>
      </c>
      <c r="BE103" s="24">
        <v>0</v>
      </c>
      <c r="BF103" s="24">
        <f>103</f>
        <v>103</v>
      </c>
      <c r="BH103" s="24">
        <f>F103*AO103</f>
        <v>0</v>
      </c>
      <c r="BI103" s="24">
        <f>F103*AP103</f>
        <v>0</v>
      </c>
      <c r="BJ103" s="24">
        <f>F103*G103</f>
        <v>0</v>
      </c>
      <c r="BK103" s="26" t="s">
        <v>224</v>
      </c>
      <c r="BL103" s="24">
        <v>713</v>
      </c>
      <c r="BW103" s="24">
        <v>21</v>
      </c>
      <c r="BX103" s="4" t="s">
        <v>254</v>
      </c>
    </row>
    <row r="104" spans="1:76" x14ac:dyDescent="0.25">
      <c r="A104" s="27"/>
      <c r="C104" s="28" t="s">
        <v>237</v>
      </c>
      <c r="D104" s="28" t="s">
        <v>48</v>
      </c>
      <c r="F104" s="29">
        <v>41.94</v>
      </c>
      <c r="K104" s="30"/>
    </row>
    <row r="105" spans="1:76" x14ac:dyDescent="0.25">
      <c r="A105" s="27"/>
      <c r="C105" s="28" t="s">
        <v>255</v>
      </c>
      <c r="D105" s="28" t="s">
        <v>48</v>
      </c>
      <c r="F105" s="29">
        <v>2.1</v>
      </c>
      <c r="K105" s="30"/>
    </row>
    <row r="106" spans="1:76" x14ac:dyDescent="0.25">
      <c r="A106" s="2" t="s">
        <v>256</v>
      </c>
      <c r="B106" s="3" t="s">
        <v>257</v>
      </c>
      <c r="C106" s="109" t="s">
        <v>258</v>
      </c>
      <c r="D106" s="106"/>
      <c r="E106" s="3" t="s">
        <v>190</v>
      </c>
      <c r="F106" s="24">
        <v>24.71</v>
      </c>
      <c r="G106" s="24">
        <v>0</v>
      </c>
      <c r="H106" s="24">
        <f>ROUND(F106*AO106,2)</f>
        <v>0</v>
      </c>
      <c r="I106" s="24">
        <f>ROUND(F106*AP106,2)</f>
        <v>0</v>
      </c>
      <c r="J106" s="24">
        <f>ROUND(F106*G106,2)</f>
        <v>0</v>
      </c>
      <c r="K106" s="25" t="s">
        <v>55</v>
      </c>
      <c r="Z106" s="24">
        <f>ROUND(IF(AQ106="5",BJ106,0),2)</f>
        <v>0</v>
      </c>
      <c r="AB106" s="24">
        <f>ROUND(IF(AQ106="1",BH106,0),2)</f>
        <v>0</v>
      </c>
      <c r="AC106" s="24">
        <f>ROUND(IF(AQ106="1",BI106,0),2)</f>
        <v>0</v>
      </c>
      <c r="AD106" s="24">
        <f>ROUND(IF(AQ106="7",BH106,0),2)</f>
        <v>0</v>
      </c>
      <c r="AE106" s="24">
        <f>ROUND(IF(AQ106="7",BI106,0),2)</f>
        <v>0</v>
      </c>
      <c r="AF106" s="24">
        <f>ROUND(IF(AQ106="2",BH106,0),2)</f>
        <v>0</v>
      </c>
      <c r="AG106" s="24">
        <f>ROUND(IF(AQ106="2",BI106,0),2)</f>
        <v>0</v>
      </c>
      <c r="AH106" s="24">
        <f>ROUND(IF(AQ106="0",BJ106,0),2)</f>
        <v>0</v>
      </c>
      <c r="AI106" s="10" t="s">
        <v>48</v>
      </c>
      <c r="AJ106" s="24">
        <f>IF(AN106=0,J106,0)</f>
        <v>0</v>
      </c>
      <c r="AK106" s="24">
        <f>IF(AN106=12,J106,0)</f>
        <v>0</v>
      </c>
      <c r="AL106" s="24">
        <f>IF(AN106=21,J106,0)</f>
        <v>0</v>
      </c>
      <c r="AN106" s="24">
        <v>21</v>
      </c>
      <c r="AO106" s="24">
        <f>G106*0</f>
        <v>0</v>
      </c>
      <c r="AP106" s="24">
        <f>G106*(1-0)</f>
        <v>0</v>
      </c>
      <c r="AQ106" s="26" t="s">
        <v>90</v>
      </c>
      <c r="AV106" s="24">
        <f>ROUND(AW106+AX106,2)</f>
        <v>0</v>
      </c>
      <c r="AW106" s="24">
        <f>ROUND(F106*AO106,2)</f>
        <v>0</v>
      </c>
      <c r="AX106" s="24">
        <f>ROUND(F106*AP106,2)</f>
        <v>0</v>
      </c>
      <c r="AY106" s="26" t="s">
        <v>236</v>
      </c>
      <c r="AZ106" s="26" t="s">
        <v>236</v>
      </c>
      <c r="BA106" s="10" t="s">
        <v>57</v>
      </c>
      <c r="BC106" s="24">
        <f>AW106+AX106</f>
        <v>0</v>
      </c>
      <c r="BD106" s="24">
        <f>G106/(100-BE106)*100</f>
        <v>0</v>
      </c>
      <c r="BE106" s="24">
        <v>0</v>
      </c>
      <c r="BF106" s="24">
        <f>106</f>
        <v>106</v>
      </c>
      <c r="BH106" s="24">
        <f>F106*AO106</f>
        <v>0</v>
      </c>
      <c r="BI106" s="24">
        <f>F106*AP106</f>
        <v>0</v>
      </c>
      <c r="BJ106" s="24">
        <f>F106*G106</f>
        <v>0</v>
      </c>
      <c r="BK106" s="26" t="s">
        <v>58</v>
      </c>
      <c r="BL106" s="24">
        <v>713</v>
      </c>
      <c r="BW106" s="24">
        <v>21</v>
      </c>
      <c r="BX106" s="4" t="s">
        <v>258</v>
      </c>
    </row>
    <row r="107" spans="1:76" x14ac:dyDescent="0.25">
      <c r="A107" s="27"/>
      <c r="C107" s="28" t="s">
        <v>259</v>
      </c>
      <c r="D107" s="28" t="s">
        <v>201</v>
      </c>
      <c r="F107" s="29">
        <v>24.71</v>
      </c>
      <c r="K107" s="30"/>
    </row>
    <row r="108" spans="1:76" x14ac:dyDescent="0.25">
      <c r="A108" s="2" t="s">
        <v>260</v>
      </c>
      <c r="B108" s="3" t="s">
        <v>261</v>
      </c>
      <c r="C108" s="109" t="s">
        <v>262</v>
      </c>
      <c r="D108" s="106"/>
      <c r="E108" s="3" t="s">
        <v>190</v>
      </c>
      <c r="F108" s="24">
        <v>25.95</v>
      </c>
      <c r="G108" s="24">
        <v>0</v>
      </c>
      <c r="H108" s="24">
        <f>ROUND(F108*AO108,2)</f>
        <v>0</v>
      </c>
      <c r="I108" s="24">
        <f>ROUND(F108*AP108,2)</f>
        <v>0</v>
      </c>
      <c r="J108" s="24">
        <f>ROUND(F108*G108,2)</f>
        <v>0</v>
      </c>
      <c r="K108" s="25" t="s">
        <v>55</v>
      </c>
      <c r="Z108" s="24">
        <f>ROUND(IF(AQ108="5",BJ108,0),2)</f>
        <v>0</v>
      </c>
      <c r="AB108" s="24">
        <f>ROUND(IF(AQ108="1",BH108,0),2)</f>
        <v>0</v>
      </c>
      <c r="AC108" s="24">
        <f>ROUND(IF(AQ108="1",BI108,0),2)</f>
        <v>0</v>
      </c>
      <c r="AD108" s="24">
        <f>ROUND(IF(AQ108="7",BH108,0),2)</f>
        <v>0</v>
      </c>
      <c r="AE108" s="24">
        <f>ROUND(IF(AQ108="7",BI108,0),2)</f>
        <v>0</v>
      </c>
      <c r="AF108" s="24">
        <f>ROUND(IF(AQ108="2",BH108,0),2)</f>
        <v>0</v>
      </c>
      <c r="AG108" s="24">
        <f>ROUND(IF(AQ108="2",BI108,0),2)</f>
        <v>0</v>
      </c>
      <c r="AH108" s="24">
        <f>ROUND(IF(AQ108="0",BJ108,0),2)</f>
        <v>0</v>
      </c>
      <c r="AI108" s="10" t="s">
        <v>48</v>
      </c>
      <c r="AJ108" s="24">
        <f>IF(AN108=0,J108,0)</f>
        <v>0</v>
      </c>
      <c r="AK108" s="24">
        <f>IF(AN108=12,J108,0)</f>
        <v>0</v>
      </c>
      <c r="AL108" s="24">
        <f>IF(AN108=21,J108,0)</f>
        <v>0</v>
      </c>
      <c r="AN108" s="24">
        <v>21</v>
      </c>
      <c r="AO108" s="24">
        <f>G108*1</f>
        <v>0</v>
      </c>
      <c r="AP108" s="24">
        <f>G108*(1-1)</f>
        <v>0</v>
      </c>
      <c r="AQ108" s="26" t="s">
        <v>90</v>
      </c>
      <c r="AV108" s="24">
        <f>ROUND(AW108+AX108,2)</f>
        <v>0</v>
      </c>
      <c r="AW108" s="24">
        <f>ROUND(F108*AO108,2)</f>
        <v>0</v>
      </c>
      <c r="AX108" s="24">
        <f>ROUND(F108*AP108,2)</f>
        <v>0</v>
      </c>
      <c r="AY108" s="26" t="s">
        <v>236</v>
      </c>
      <c r="AZ108" s="26" t="s">
        <v>236</v>
      </c>
      <c r="BA108" s="10" t="s">
        <v>57</v>
      </c>
      <c r="BC108" s="24">
        <f>AW108+AX108</f>
        <v>0</v>
      </c>
      <c r="BD108" s="24">
        <f>G108/(100-BE108)*100</f>
        <v>0</v>
      </c>
      <c r="BE108" s="24">
        <v>0</v>
      </c>
      <c r="BF108" s="24">
        <f>108</f>
        <v>108</v>
      </c>
      <c r="BH108" s="24">
        <f>F108*AO108</f>
        <v>0</v>
      </c>
      <c r="BI108" s="24">
        <f>F108*AP108</f>
        <v>0</v>
      </c>
      <c r="BJ108" s="24">
        <f>F108*G108</f>
        <v>0</v>
      </c>
      <c r="BK108" s="26" t="s">
        <v>224</v>
      </c>
      <c r="BL108" s="24">
        <v>713</v>
      </c>
      <c r="BW108" s="24">
        <v>21</v>
      </c>
      <c r="BX108" s="4" t="s">
        <v>262</v>
      </c>
    </row>
    <row r="109" spans="1:76" x14ac:dyDescent="0.25">
      <c r="A109" s="27"/>
      <c r="C109" s="28" t="s">
        <v>263</v>
      </c>
      <c r="D109" s="28" t="s">
        <v>48</v>
      </c>
      <c r="F109" s="29">
        <v>24.71</v>
      </c>
      <c r="K109" s="30"/>
    </row>
    <row r="110" spans="1:76" x14ac:dyDescent="0.25">
      <c r="A110" s="27"/>
      <c r="C110" s="28" t="s">
        <v>264</v>
      </c>
      <c r="D110" s="28" t="s">
        <v>48</v>
      </c>
      <c r="F110" s="29">
        <v>1.24</v>
      </c>
      <c r="K110" s="30"/>
    </row>
    <row r="111" spans="1:76" x14ac:dyDescent="0.25">
      <c r="A111" s="2" t="s">
        <v>265</v>
      </c>
      <c r="B111" s="3" t="s">
        <v>266</v>
      </c>
      <c r="C111" s="109" t="s">
        <v>267</v>
      </c>
      <c r="D111" s="106"/>
      <c r="E111" s="3" t="s">
        <v>84</v>
      </c>
      <c r="F111" s="24">
        <v>41.94</v>
      </c>
      <c r="G111" s="24">
        <v>0</v>
      </c>
      <c r="H111" s="24">
        <f>ROUND(F111*AO111,2)</f>
        <v>0</v>
      </c>
      <c r="I111" s="24">
        <f>ROUND(F111*AP111,2)</f>
        <v>0</v>
      </c>
      <c r="J111" s="24">
        <f>ROUND(F111*G111,2)</f>
        <v>0</v>
      </c>
      <c r="K111" s="25" t="s">
        <v>55</v>
      </c>
      <c r="Z111" s="24">
        <f>ROUND(IF(AQ111="5",BJ111,0),2)</f>
        <v>0</v>
      </c>
      <c r="AB111" s="24">
        <f>ROUND(IF(AQ111="1",BH111,0),2)</f>
        <v>0</v>
      </c>
      <c r="AC111" s="24">
        <f>ROUND(IF(AQ111="1",BI111,0),2)</f>
        <v>0</v>
      </c>
      <c r="AD111" s="24">
        <f>ROUND(IF(AQ111="7",BH111,0),2)</f>
        <v>0</v>
      </c>
      <c r="AE111" s="24">
        <f>ROUND(IF(AQ111="7",BI111,0),2)</f>
        <v>0</v>
      </c>
      <c r="AF111" s="24">
        <f>ROUND(IF(AQ111="2",BH111,0),2)</f>
        <v>0</v>
      </c>
      <c r="AG111" s="24">
        <f>ROUND(IF(AQ111="2",BI111,0),2)</f>
        <v>0</v>
      </c>
      <c r="AH111" s="24">
        <f>ROUND(IF(AQ111="0",BJ111,0),2)</f>
        <v>0</v>
      </c>
      <c r="AI111" s="10" t="s">
        <v>48</v>
      </c>
      <c r="AJ111" s="24">
        <f>IF(AN111=0,J111,0)</f>
        <v>0</v>
      </c>
      <c r="AK111" s="24">
        <f>IF(AN111=12,J111,0)</f>
        <v>0</v>
      </c>
      <c r="AL111" s="24">
        <f>IF(AN111=21,J111,0)</f>
        <v>0</v>
      </c>
      <c r="AN111" s="24">
        <v>21</v>
      </c>
      <c r="AO111" s="24">
        <f>G111*0.141537157</f>
        <v>0</v>
      </c>
      <c r="AP111" s="24">
        <f>G111*(1-0.141537157)</f>
        <v>0</v>
      </c>
      <c r="AQ111" s="26" t="s">
        <v>90</v>
      </c>
      <c r="AV111" s="24">
        <f>ROUND(AW111+AX111,2)</f>
        <v>0</v>
      </c>
      <c r="AW111" s="24">
        <f>ROUND(F111*AO111,2)</f>
        <v>0</v>
      </c>
      <c r="AX111" s="24">
        <f>ROUND(F111*AP111,2)</f>
        <v>0</v>
      </c>
      <c r="AY111" s="26" t="s">
        <v>236</v>
      </c>
      <c r="AZ111" s="26" t="s">
        <v>236</v>
      </c>
      <c r="BA111" s="10" t="s">
        <v>57</v>
      </c>
      <c r="BC111" s="24">
        <f>AW111+AX111</f>
        <v>0</v>
      </c>
      <c r="BD111" s="24">
        <f>G111/(100-BE111)*100</f>
        <v>0</v>
      </c>
      <c r="BE111" s="24">
        <v>0</v>
      </c>
      <c r="BF111" s="24">
        <f>111</f>
        <v>111</v>
      </c>
      <c r="BH111" s="24">
        <f>F111*AO111</f>
        <v>0</v>
      </c>
      <c r="BI111" s="24">
        <f>F111*AP111</f>
        <v>0</v>
      </c>
      <c r="BJ111" s="24">
        <f>F111*G111</f>
        <v>0</v>
      </c>
      <c r="BK111" s="26" t="s">
        <v>58</v>
      </c>
      <c r="BL111" s="24">
        <v>713</v>
      </c>
      <c r="BW111" s="24">
        <v>21</v>
      </c>
      <c r="BX111" s="4" t="s">
        <v>267</v>
      </c>
    </row>
    <row r="112" spans="1:76" x14ac:dyDescent="0.25">
      <c r="A112" s="27"/>
      <c r="C112" s="28" t="s">
        <v>237</v>
      </c>
      <c r="D112" s="28" t="s">
        <v>201</v>
      </c>
      <c r="F112" s="29">
        <v>41.94</v>
      </c>
      <c r="K112" s="30"/>
    </row>
    <row r="113" spans="1:76" x14ac:dyDescent="0.25">
      <c r="A113" s="2" t="s">
        <v>268</v>
      </c>
      <c r="B113" s="3" t="s">
        <v>269</v>
      </c>
      <c r="C113" s="109" t="s">
        <v>270</v>
      </c>
      <c r="D113" s="106"/>
      <c r="E113" s="3" t="s">
        <v>104</v>
      </c>
      <c r="F113" s="24">
        <v>0.7</v>
      </c>
      <c r="G113" s="24">
        <v>0</v>
      </c>
      <c r="H113" s="24">
        <f>ROUND(F113*AO113,2)</f>
        <v>0</v>
      </c>
      <c r="I113" s="24">
        <f>ROUND(F113*AP113,2)</f>
        <v>0</v>
      </c>
      <c r="J113" s="24">
        <f>ROUND(F113*G113,2)</f>
        <v>0</v>
      </c>
      <c r="K113" s="25" t="s">
        <v>55</v>
      </c>
      <c r="Z113" s="24">
        <f>ROUND(IF(AQ113="5",BJ113,0),2)</f>
        <v>0</v>
      </c>
      <c r="AB113" s="24">
        <f>ROUND(IF(AQ113="1",BH113,0),2)</f>
        <v>0</v>
      </c>
      <c r="AC113" s="24">
        <f>ROUND(IF(AQ113="1",BI113,0),2)</f>
        <v>0</v>
      </c>
      <c r="AD113" s="24">
        <f>ROUND(IF(AQ113="7",BH113,0),2)</f>
        <v>0</v>
      </c>
      <c r="AE113" s="24">
        <f>ROUND(IF(AQ113="7",BI113,0),2)</f>
        <v>0</v>
      </c>
      <c r="AF113" s="24">
        <f>ROUND(IF(AQ113="2",BH113,0),2)</f>
        <v>0</v>
      </c>
      <c r="AG113" s="24">
        <f>ROUND(IF(AQ113="2",BI113,0),2)</f>
        <v>0</v>
      </c>
      <c r="AH113" s="24">
        <f>ROUND(IF(AQ113="0",BJ113,0),2)</f>
        <v>0</v>
      </c>
      <c r="AI113" s="10" t="s">
        <v>48</v>
      </c>
      <c r="AJ113" s="24">
        <f>IF(AN113=0,J113,0)</f>
        <v>0</v>
      </c>
      <c r="AK113" s="24">
        <f>IF(AN113=12,J113,0)</f>
        <v>0</v>
      </c>
      <c r="AL113" s="24">
        <f>IF(AN113=21,J113,0)</f>
        <v>0</v>
      </c>
      <c r="AN113" s="24">
        <v>21</v>
      </c>
      <c r="AO113" s="24">
        <f>G113*0</f>
        <v>0</v>
      </c>
      <c r="AP113" s="24">
        <f>G113*(1-0)</f>
        <v>0</v>
      </c>
      <c r="AQ113" s="26" t="s">
        <v>75</v>
      </c>
      <c r="AV113" s="24">
        <f>ROUND(AW113+AX113,2)</f>
        <v>0</v>
      </c>
      <c r="AW113" s="24">
        <f>ROUND(F113*AO113,2)</f>
        <v>0</v>
      </c>
      <c r="AX113" s="24">
        <f>ROUND(F113*AP113,2)</f>
        <v>0</v>
      </c>
      <c r="AY113" s="26" t="s">
        <v>236</v>
      </c>
      <c r="AZ113" s="26" t="s">
        <v>236</v>
      </c>
      <c r="BA113" s="10" t="s">
        <v>57</v>
      </c>
      <c r="BC113" s="24">
        <f>AW113+AX113</f>
        <v>0</v>
      </c>
      <c r="BD113" s="24">
        <f>G113/(100-BE113)*100</f>
        <v>0</v>
      </c>
      <c r="BE113" s="24">
        <v>0</v>
      </c>
      <c r="BF113" s="24">
        <f>113</f>
        <v>113</v>
      </c>
      <c r="BH113" s="24">
        <f>F113*AO113</f>
        <v>0</v>
      </c>
      <c r="BI113" s="24">
        <f>F113*AP113</f>
        <v>0</v>
      </c>
      <c r="BJ113" s="24">
        <f>F113*G113</f>
        <v>0</v>
      </c>
      <c r="BK113" s="26" t="s">
        <v>58</v>
      </c>
      <c r="BL113" s="24">
        <v>713</v>
      </c>
      <c r="BW113" s="24">
        <v>21</v>
      </c>
      <c r="BX113" s="4" t="s">
        <v>270</v>
      </c>
    </row>
    <row r="114" spans="1:76" x14ac:dyDescent="0.25">
      <c r="A114" s="31" t="s">
        <v>48</v>
      </c>
      <c r="B114" s="32" t="s">
        <v>271</v>
      </c>
      <c r="C114" s="181" t="s">
        <v>272</v>
      </c>
      <c r="D114" s="182"/>
      <c r="E114" s="33" t="s">
        <v>4</v>
      </c>
      <c r="F114" s="33" t="s">
        <v>4</v>
      </c>
      <c r="G114" s="33" t="s">
        <v>4</v>
      </c>
      <c r="H114" s="1">
        <f>ROUND(SUM(H115:H115),2)</f>
        <v>0</v>
      </c>
      <c r="I114" s="1">
        <f>ROUND(SUM(I115:I115),2)</f>
        <v>0</v>
      </c>
      <c r="J114" s="1">
        <f>ROUND(SUM(J115:J115),2)</f>
        <v>0</v>
      </c>
      <c r="K114" s="34" t="s">
        <v>48</v>
      </c>
      <c r="AI114" s="10" t="s">
        <v>48</v>
      </c>
      <c r="AS114" s="1">
        <f>SUM(AJ115:AJ115)</f>
        <v>0</v>
      </c>
      <c r="AT114" s="1">
        <f>SUM(AK115:AK115)</f>
        <v>0</v>
      </c>
      <c r="AU114" s="1">
        <f>SUM(AL115:AL115)</f>
        <v>0</v>
      </c>
    </row>
    <row r="115" spans="1:76" x14ac:dyDescent="0.25">
      <c r="A115" s="2" t="s">
        <v>273</v>
      </c>
      <c r="B115" s="3" t="s">
        <v>274</v>
      </c>
      <c r="C115" s="109" t="s">
        <v>275</v>
      </c>
      <c r="D115" s="106"/>
      <c r="E115" s="3" t="s">
        <v>276</v>
      </c>
      <c r="F115" s="24">
        <v>1</v>
      </c>
      <c r="G115" s="24">
        <f>topení!J46</f>
        <v>0</v>
      </c>
      <c r="H115" s="24">
        <f>ROUND(F115*AO115,2)</f>
        <v>0</v>
      </c>
      <c r="I115" s="24">
        <f>ROUND(F115*AP115,2)</f>
        <v>0</v>
      </c>
      <c r="J115" s="24">
        <f>ROUND(F115*G115,2)</f>
        <v>0</v>
      </c>
      <c r="K115" s="25" t="s">
        <v>55</v>
      </c>
      <c r="Z115" s="24">
        <f>ROUND(IF(AQ115="5",BJ115,0),2)</f>
        <v>0</v>
      </c>
      <c r="AB115" s="24">
        <f>ROUND(IF(AQ115="1",BH115,0),2)</f>
        <v>0</v>
      </c>
      <c r="AC115" s="24">
        <f>ROUND(IF(AQ115="1",BI115,0),2)</f>
        <v>0</v>
      </c>
      <c r="AD115" s="24">
        <f>ROUND(IF(AQ115="7",BH115,0),2)</f>
        <v>0</v>
      </c>
      <c r="AE115" s="24">
        <f>ROUND(IF(AQ115="7",BI115,0),2)</f>
        <v>0</v>
      </c>
      <c r="AF115" s="24">
        <f>ROUND(IF(AQ115="2",BH115,0),2)</f>
        <v>0</v>
      </c>
      <c r="AG115" s="24">
        <f>ROUND(IF(AQ115="2",BI115,0),2)</f>
        <v>0</v>
      </c>
      <c r="AH115" s="24">
        <f>ROUND(IF(AQ115="0",BJ115,0),2)</f>
        <v>0</v>
      </c>
      <c r="AI115" s="10" t="s">
        <v>48</v>
      </c>
      <c r="AJ115" s="24">
        <f>IF(AN115=0,J115,0)</f>
        <v>0</v>
      </c>
      <c r="AK115" s="24">
        <f>IF(AN115=12,J115,0)</f>
        <v>0</v>
      </c>
      <c r="AL115" s="24">
        <f>IF(AN115=21,J115,0)</f>
        <v>0</v>
      </c>
      <c r="AN115" s="24">
        <v>21</v>
      </c>
      <c r="AO115" s="24">
        <f>G115*0.44</f>
        <v>0</v>
      </c>
      <c r="AP115" s="24">
        <f>G115*(1-0.44)</f>
        <v>0</v>
      </c>
      <c r="AQ115" s="26" t="s">
        <v>90</v>
      </c>
      <c r="AV115" s="24">
        <f>ROUND(AW115+AX115,2)</f>
        <v>0</v>
      </c>
      <c r="AW115" s="24">
        <f>ROUND(F115*AO115,2)</f>
        <v>0</v>
      </c>
      <c r="AX115" s="24">
        <f>ROUND(F115*AP115,2)</f>
        <v>0</v>
      </c>
      <c r="AY115" s="26" t="s">
        <v>277</v>
      </c>
      <c r="AZ115" s="26" t="s">
        <v>277</v>
      </c>
      <c r="BA115" s="10" t="s">
        <v>57</v>
      </c>
      <c r="BC115" s="24">
        <f>AW115+AX115</f>
        <v>0</v>
      </c>
      <c r="BD115" s="24">
        <f>G115/(100-BE115)*100</f>
        <v>0</v>
      </c>
      <c r="BE115" s="24">
        <v>0</v>
      </c>
      <c r="BF115" s="24">
        <f>115</f>
        <v>115</v>
      </c>
      <c r="BH115" s="24">
        <f>F115*AO115</f>
        <v>0</v>
      </c>
      <c r="BI115" s="24">
        <f>F115*AP115</f>
        <v>0</v>
      </c>
      <c r="BJ115" s="24">
        <f>F115*G115</f>
        <v>0</v>
      </c>
      <c r="BK115" s="26" t="s">
        <v>58</v>
      </c>
      <c r="BL115" s="24">
        <v>731</v>
      </c>
      <c r="BW115" s="24">
        <v>21</v>
      </c>
      <c r="BX115" s="4" t="s">
        <v>275</v>
      </c>
    </row>
    <row r="116" spans="1:76" x14ac:dyDescent="0.25">
      <c r="A116" s="31" t="s">
        <v>48</v>
      </c>
      <c r="B116" s="32" t="s">
        <v>278</v>
      </c>
      <c r="C116" s="181" t="s">
        <v>279</v>
      </c>
      <c r="D116" s="182"/>
      <c r="E116" s="33" t="s">
        <v>4</v>
      </c>
      <c r="F116" s="33" t="s">
        <v>4</v>
      </c>
      <c r="G116" s="33" t="s">
        <v>4</v>
      </c>
      <c r="H116" s="1">
        <f>ROUND(SUM(H117:H130),2)</f>
        <v>0</v>
      </c>
      <c r="I116" s="1">
        <f>ROUND(SUM(I117:I130),2)</f>
        <v>0</v>
      </c>
      <c r="J116" s="1">
        <f>ROUND(SUM(J117:J130),2)</f>
        <v>0</v>
      </c>
      <c r="K116" s="34" t="s">
        <v>48</v>
      </c>
      <c r="AI116" s="10" t="s">
        <v>48</v>
      </c>
      <c r="AS116" s="1">
        <f>SUM(AJ117:AJ130)</f>
        <v>0</v>
      </c>
      <c r="AT116" s="1">
        <f>SUM(AK117:AK130)</f>
        <v>0</v>
      </c>
      <c r="AU116" s="1">
        <f>SUM(AL117:AL130)</f>
        <v>0</v>
      </c>
    </row>
    <row r="117" spans="1:76" x14ac:dyDescent="0.25">
      <c r="A117" s="2" t="s">
        <v>280</v>
      </c>
      <c r="B117" s="3" t="s">
        <v>281</v>
      </c>
      <c r="C117" s="109" t="s">
        <v>282</v>
      </c>
      <c r="D117" s="106"/>
      <c r="E117" s="3" t="s">
        <v>190</v>
      </c>
      <c r="F117" s="24">
        <v>18.8</v>
      </c>
      <c r="G117" s="24">
        <v>0</v>
      </c>
      <c r="H117" s="24">
        <f>ROUND(F117*AO117,2)</f>
        <v>0</v>
      </c>
      <c r="I117" s="24">
        <f>ROUND(F117*AP117,2)</f>
        <v>0</v>
      </c>
      <c r="J117" s="24">
        <f>ROUND(F117*G117,2)</f>
        <v>0</v>
      </c>
      <c r="K117" s="25" t="s">
        <v>55</v>
      </c>
      <c r="Z117" s="24">
        <f>ROUND(IF(AQ117="5",BJ117,0),2)</f>
        <v>0</v>
      </c>
      <c r="AB117" s="24">
        <f>ROUND(IF(AQ117="1",BH117,0),2)</f>
        <v>0</v>
      </c>
      <c r="AC117" s="24">
        <f>ROUND(IF(AQ117="1",BI117,0),2)</f>
        <v>0</v>
      </c>
      <c r="AD117" s="24">
        <f>ROUND(IF(AQ117="7",BH117,0),2)</f>
        <v>0</v>
      </c>
      <c r="AE117" s="24">
        <f>ROUND(IF(AQ117="7",BI117,0),2)</f>
        <v>0</v>
      </c>
      <c r="AF117" s="24">
        <f>ROUND(IF(AQ117="2",BH117,0),2)</f>
        <v>0</v>
      </c>
      <c r="AG117" s="24">
        <f>ROUND(IF(AQ117="2",BI117,0),2)</f>
        <v>0</v>
      </c>
      <c r="AH117" s="24">
        <f>ROUND(IF(AQ117="0",BJ117,0),2)</f>
        <v>0</v>
      </c>
      <c r="AI117" s="10" t="s">
        <v>48</v>
      </c>
      <c r="AJ117" s="24">
        <f>IF(AN117=0,J117,0)</f>
        <v>0</v>
      </c>
      <c r="AK117" s="24">
        <f>IF(AN117=12,J117,0)</f>
        <v>0</v>
      </c>
      <c r="AL117" s="24">
        <f>IF(AN117=21,J117,0)</f>
        <v>0</v>
      </c>
      <c r="AN117" s="24">
        <v>21</v>
      </c>
      <c r="AO117" s="24">
        <f>G117*0.06000108</f>
        <v>0</v>
      </c>
      <c r="AP117" s="24">
        <f>G117*(1-0.06000108)</f>
        <v>0</v>
      </c>
      <c r="AQ117" s="26" t="s">
        <v>90</v>
      </c>
      <c r="AV117" s="24">
        <f>ROUND(AW117+AX117,2)</f>
        <v>0</v>
      </c>
      <c r="AW117" s="24">
        <f>ROUND(F117*AO117,2)</f>
        <v>0</v>
      </c>
      <c r="AX117" s="24">
        <f>ROUND(F117*AP117,2)</f>
        <v>0</v>
      </c>
      <c r="AY117" s="26" t="s">
        <v>283</v>
      </c>
      <c r="AZ117" s="26" t="s">
        <v>283</v>
      </c>
      <c r="BA117" s="10" t="s">
        <v>57</v>
      </c>
      <c r="BC117" s="24">
        <f>AW117+AX117</f>
        <v>0</v>
      </c>
      <c r="BD117" s="24">
        <f>G117/(100-BE117)*100</f>
        <v>0</v>
      </c>
      <c r="BE117" s="24">
        <v>0</v>
      </c>
      <c r="BF117" s="24">
        <f>117</f>
        <v>117</v>
      </c>
      <c r="BH117" s="24">
        <f>F117*AO117</f>
        <v>0</v>
      </c>
      <c r="BI117" s="24">
        <f>F117*AP117</f>
        <v>0</v>
      </c>
      <c r="BJ117" s="24">
        <f>F117*G117</f>
        <v>0</v>
      </c>
      <c r="BK117" s="26" t="s">
        <v>58</v>
      </c>
      <c r="BL117" s="24">
        <v>762</v>
      </c>
      <c r="BW117" s="24">
        <v>21</v>
      </c>
      <c r="BX117" s="4" t="s">
        <v>282</v>
      </c>
    </row>
    <row r="118" spans="1:76" x14ac:dyDescent="0.25">
      <c r="A118" s="27"/>
      <c r="C118" s="28" t="s">
        <v>284</v>
      </c>
      <c r="D118" s="28" t="s">
        <v>285</v>
      </c>
      <c r="F118" s="29">
        <v>18.8</v>
      </c>
      <c r="K118" s="30"/>
    </row>
    <row r="119" spans="1:76" x14ac:dyDescent="0.25">
      <c r="A119" s="2" t="s">
        <v>286</v>
      </c>
      <c r="B119" s="3" t="s">
        <v>287</v>
      </c>
      <c r="C119" s="109" t="s">
        <v>288</v>
      </c>
      <c r="D119" s="106"/>
      <c r="E119" s="3" t="s">
        <v>54</v>
      </c>
      <c r="F119" s="24">
        <v>0.21</v>
      </c>
      <c r="G119" s="24">
        <v>0</v>
      </c>
      <c r="H119" s="24">
        <f>ROUND(F119*AO119,2)</f>
        <v>0</v>
      </c>
      <c r="I119" s="24">
        <f>ROUND(F119*AP119,2)</f>
        <v>0</v>
      </c>
      <c r="J119" s="24">
        <f>ROUND(F119*G119,2)</f>
        <v>0</v>
      </c>
      <c r="K119" s="25" t="s">
        <v>55</v>
      </c>
      <c r="Z119" s="24">
        <f>ROUND(IF(AQ119="5",BJ119,0),2)</f>
        <v>0</v>
      </c>
      <c r="AB119" s="24">
        <f>ROUND(IF(AQ119="1",BH119,0),2)</f>
        <v>0</v>
      </c>
      <c r="AC119" s="24">
        <f>ROUND(IF(AQ119="1",BI119,0),2)</f>
        <v>0</v>
      </c>
      <c r="AD119" s="24">
        <f>ROUND(IF(AQ119="7",BH119,0),2)</f>
        <v>0</v>
      </c>
      <c r="AE119" s="24">
        <f>ROUND(IF(AQ119="7",BI119,0),2)</f>
        <v>0</v>
      </c>
      <c r="AF119" s="24">
        <f>ROUND(IF(AQ119="2",BH119,0),2)</f>
        <v>0</v>
      </c>
      <c r="AG119" s="24">
        <f>ROUND(IF(AQ119="2",BI119,0),2)</f>
        <v>0</v>
      </c>
      <c r="AH119" s="24">
        <f>ROUND(IF(AQ119="0",BJ119,0),2)</f>
        <v>0</v>
      </c>
      <c r="AI119" s="10" t="s">
        <v>48</v>
      </c>
      <c r="AJ119" s="24">
        <f>IF(AN119=0,J119,0)</f>
        <v>0</v>
      </c>
      <c r="AK119" s="24">
        <f>IF(AN119=12,J119,0)</f>
        <v>0</v>
      </c>
      <c r="AL119" s="24">
        <f>IF(AN119=21,J119,0)</f>
        <v>0</v>
      </c>
      <c r="AN119" s="24">
        <v>21</v>
      </c>
      <c r="AO119" s="24">
        <f>G119*1</f>
        <v>0</v>
      </c>
      <c r="AP119" s="24">
        <f>G119*(1-1)</f>
        <v>0</v>
      </c>
      <c r="AQ119" s="26" t="s">
        <v>90</v>
      </c>
      <c r="AV119" s="24">
        <f>ROUND(AW119+AX119,2)</f>
        <v>0</v>
      </c>
      <c r="AW119" s="24">
        <f>ROUND(F119*AO119,2)</f>
        <v>0</v>
      </c>
      <c r="AX119" s="24">
        <f>ROUND(F119*AP119,2)</f>
        <v>0</v>
      </c>
      <c r="AY119" s="26" t="s">
        <v>283</v>
      </c>
      <c r="AZ119" s="26" t="s">
        <v>283</v>
      </c>
      <c r="BA119" s="10" t="s">
        <v>57</v>
      </c>
      <c r="BC119" s="24">
        <f>AW119+AX119</f>
        <v>0</v>
      </c>
      <c r="BD119" s="24">
        <f>G119/(100-BE119)*100</f>
        <v>0</v>
      </c>
      <c r="BE119" s="24">
        <v>0</v>
      </c>
      <c r="BF119" s="24">
        <f>119</f>
        <v>119</v>
      </c>
      <c r="BH119" s="24">
        <f>F119*AO119</f>
        <v>0</v>
      </c>
      <c r="BI119" s="24">
        <f>F119*AP119</f>
        <v>0</v>
      </c>
      <c r="BJ119" s="24">
        <f>F119*G119</f>
        <v>0</v>
      </c>
      <c r="BK119" s="26" t="s">
        <v>224</v>
      </c>
      <c r="BL119" s="24">
        <v>762</v>
      </c>
      <c r="BW119" s="24">
        <v>21</v>
      </c>
      <c r="BX119" s="4" t="s">
        <v>288</v>
      </c>
    </row>
    <row r="120" spans="1:76" x14ac:dyDescent="0.25">
      <c r="A120" s="27"/>
      <c r="C120" s="28" t="s">
        <v>289</v>
      </c>
      <c r="D120" s="28" t="s">
        <v>48</v>
      </c>
      <c r="F120" s="29">
        <v>0.19</v>
      </c>
      <c r="K120" s="30"/>
    </row>
    <row r="121" spans="1:76" x14ac:dyDescent="0.25">
      <c r="A121" s="27"/>
      <c r="C121" s="28" t="s">
        <v>290</v>
      </c>
      <c r="D121" s="28" t="s">
        <v>48</v>
      </c>
      <c r="F121" s="29">
        <v>0.02</v>
      </c>
      <c r="K121" s="30"/>
    </row>
    <row r="122" spans="1:76" x14ac:dyDescent="0.25">
      <c r="A122" s="2" t="s">
        <v>291</v>
      </c>
      <c r="B122" s="3" t="s">
        <v>292</v>
      </c>
      <c r="C122" s="109" t="s">
        <v>293</v>
      </c>
      <c r="D122" s="106"/>
      <c r="E122" s="3" t="s">
        <v>84</v>
      </c>
      <c r="F122" s="24">
        <v>6.87</v>
      </c>
      <c r="G122" s="24">
        <v>0</v>
      </c>
      <c r="H122" s="24">
        <f>ROUND(F122*AO122,2)</f>
        <v>0</v>
      </c>
      <c r="I122" s="24">
        <f>ROUND(F122*AP122,2)</f>
        <v>0</v>
      </c>
      <c r="J122" s="24">
        <f>ROUND(F122*G122,2)</f>
        <v>0</v>
      </c>
      <c r="K122" s="25" t="s">
        <v>55</v>
      </c>
      <c r="Z122" s="24">
        <f>ROUND(IF(AQ122="5",BJ122,0),2)</f>
        <v>0</v>
      </c>
      <c r="AB122" s="24">
        <f>ROUND(IF(AQ122="1",BH122,0),2)</f>
        <v>0</v>
      </c>
      <c r="AC122" s="24">
        <f>ROUND(IF(AQ122="1",BI122,0),2)</f>
        <v>0</v>
      </c>
      <c r="AD122" s="24">
        <f>ROUND(IF(AQ122="7",BH122,0),2)</f>
        <v>0</v>
      </c>
      <c r="AE122" s="24">
        <f>ROUND(IF(AQ122="7",BI122,0),2)</f>
        <v>0</v>
      </c>
      <c r="AF122" s="24">
        <f>ROUND(IF(AQ122="2",BH122,0),2)</f>
        <v>0</v>
      </c>
      <c r="AG122" s="24">
        <f>ROUND(IF(AQ122="2",BI122,0),2)</f>
        <v>0</v>
      </c>
      <c r="AH122" s="24">
        <f>ROUND(IF(AQ122="0",BJ122,0),2)</f>
        <v>0</v>
      </c>
      <c r="AI122" s="10" t="s">
        <v>48</v>
      </c>
      <c r="AJ122" s="24">
        <f>IF(AN122=0,J122,0)</f>
        <v>0</v>
      </c>
      <c r="AK122" s="24">
        <f>IF(AN122=12,J122,0)</f>
        <v>0</v>
      </c>
      <c r="AL122" s="24">
        <f>IF(AN122=21,J122,0)</f>
        <v>0</v>
      </c>
      <c r="AN122" s="24">
        <v>21</v>
      </c>
      <c r="AO122" s="24">
        <f>G122*0.046670626</f>
        <v>0</v>
      </c>
      <c r="AP122" s="24">
        <f>G122*(1-0.046670626)</f>
        <v>0</v>
      </c>
      <c r="AQ122" s="26" t="s">
        <v>90</v>
      </c>
      <c r="AV122" s="24">
        <f>ROUND(AW122+AX122,2)</f>
        <v>0</v>
      </c>
      <c r="AW122" s="24">
        <f>ROUND(F122*AO122,2)</f>
        <v>0</v>
      </c>
      <c r="AX122" s="24">
        <f>ROUND(F122*AP122,2)</f>
        <v>0</v>
      </c>
      <c r="AY122" s="26" t="s">
        <v>283</v>
      </c>
      <c r="AZ122" s="26" t="s">
        <v>283</v>
      </c>
      <c r="BA122" s="10" t="s">
        <v>57</v>
      </c>
      <c r="BC122" s="24">
        <f>AW122+AX122</f>
        <v>0</v>
      </c>
      <c r="BD122" s="24">
        <f>G122/(100-BE122)*100</f>
        <v>0</v>
      </c>
      <c r="BE122" s="24">
        <v>0</v>
      </c>
      <c r="BF122" s="24">
        <f>122</f>
        <v>122</v>
      </c>
      <c r="BH122" s="24">
        <f>F122*AO122</f>
        <v>0</v>
      </c>
      <c r="BI122" s="24">
        <f>F122*AP122</f>
        <v>0</v>
      </c>
      <c r="BJ122" s="24">
        <f>F122*G122</f>
        <v>0</v>
      </c>
      <c r="BK122" s="26" t="s">
        <v>58</v>
      </c>
      <c r="BL122" s="24">
        <v>762</v>
      </c>
      <c r="BW122" s="24">
        <v>21</v>
      </c>
      <c r="BX122" s="4" t="s">
        <v>293</v>
      </c>
    </row>
    <row r="123" spans="1:76" x14ac:dyDescent="0.25">
      <c r="A123" s="27"/>
      <c r="C123" s="28" t="s">
        <v>294</v>
      </c>
      <c r="D123" s="28" t="s">
        <v>285</v>
      </c>
      <c r="F123" s="29">
        <v>6.87</v>
      </c>
      <c r="K123" s="30"/>
    </row>
    <row r="124" spans="1:76" x14ac:dyDescent="0.25">
      <c r="A124" s="2" t="s">
        <v>295</v>
      </c>
      <c r="B124" s="3" t="s">
        <v>296</v>
      </c>
      <c r="C124" s="109" t="s">
        <v>297</v>
      </c>
      <c r="D124" s="106"/>
      <c r="E124" s="3" t="s">
        <v>84</v>
      </c>
      <c r="F124" s="24">
        <v>6.87</v>
      </c>
      <c r="G124" s="24">
        <v>0</v>
      </c>
      <c r="H124" s="24">
        <f>ROUND(F124*AO124,2)</f>
        <v>0</v>
      </c>
      <c r="I124" s="24">
        <f>ROUND(F124*AP124,2)</f>
        <v>0</v>
      </c>
      <c r="J124" s="24">
        <f>ROUND(F124*G124,2)</f>
        <v>0</v>
      </c>
      <c r="K124" s="25" t="s">
        <v>55</v>
      </c>
      <c r="Z124" s="24">
        <f>ROUND(IF(AQ124="5",BJ124,0),2)</f>
        <v>0</v>
      </c>
      <c r="AB124" s="24">
        <f>ROUND(IF(AQ124="1",BH124,0),2)</f>
        <v>0</v>
      </c>
      <c r="AC124" s="24">
        <f>ROUND(IF(AQ124="1",BI124,0),2)</f>
        <v>0</v>
      </c>
      <c r="AD124" s="24">
        <f>ROUND(IF(AQ124="7",BH124,0),2)</f>
        <v>0</v>
      </c>
      <c r="AE124" s="24">
        <f>ROUND(IF(AQ124="7",BI124,0),2)</f>
        <v>0</v>
      </c>
      <c r="AF124" s="24">
        <f>ROUND(IF(AQ124="2",BH124,0),2)</f>
        <v>0</v>
      </c>
      <c r="AG124" s="24">
        <f>ROUND(IF(AQ124="2",BI124,0),2)</f>
        <v>0</v>
      </c>
      <c r="AH124" s="24">
        <f>ROUND(IF(AQ124="0",BJ124,0),2)</f>
        <v>0</v>
      </c>
      <c r="AI124" s="10" t="s">
        <v>48</v>
      </c>
      <c r="AJ124" s="24">
        <f>IF(AN124=0,J124,0)</f>
        <v>0</v>
      </c>
      <c r="AK124" s="24">
        <f>IF(AN124=12,J124,0)</f>
        <v>0</v>
      </c>
      <c r="AL124" s="24">
        <f>IF(AN124=21,J124,0)</f>
        <v>0</v>
      </c>
      <c r="AN124" s="24">
        <v>21</v>
      </c>
      <c r="AO124" s="24">
        <f>G124*0.047759513</f>
        <v>0</v>
      </c>
      <c r="AP124" s="24">
        <f>G124*(1-0.047759513)</f>
        <v>0</v>
      </c>
      <c r="AQ124" s="26" t="s">
        <v>90</v>
      </c>
      <c r="AV124" s="24">
        <f>ROUND(AW124+AX124,2)</f>
        <v>0</v>
      </c>
      <c r="AW124" s="24">
        <f>ROUND(F124*AO124,2)</f>
        <v>0</v>
      </c>
      <c r="AX124" s="24">
        <f>ROUND(F124*AP124,2)</f>
        <v>0</v>
      </c>
      <c r="AY124" s="26" t="s">
        <v>283</v>
      </c>
      <c r="AZ124" s="26" t="s">
        <v>283</v>
      </c>
      <c r="BA124" s="10" t="s">
        <v>57</v>
      </c>
      <c r="BC124" s="24">
        <f>AW124+AX124</f>
        <v>0</v>
      </c>
      <c r="BD124" s="24">
        <f>G124/(100-BE124)*100</f>
        <v>0</v>
      </c>
      <c r="BE124" s="24">
        <v>0</v>
      </c>
      <c r="BF124" s="24">
        <f>124</f>
        <v>124</v>
      </c>
      <c r="BH124" s="24">
        <f>F124*AO124</f>
        <v>0</v>
      </c>
      <c r="BI124" s="24">
        <f>F124*AP124</f>
        <v>0</v>
      </c>
      <c r="BJ124" s="24">
        <f>F124*G124</f>
        <v>0</v>
      </c>
      <c r="BK124" s="26" t="s">
        <v>58</v>
      </c>
      <c r="BL124" s="24">
        <v>762</v>
      </c>
      <c r="BW124" s="24">
        <v>21</v>
      </c>
      <c r="BX124" s="4" t="s">
        <v>297</v>
      </c>
    </row>
    <row r="125" spans="1:76" x14ac:dyDescent="0.25">
      <c r="A125" s="27"/>
      <c r="C125" s="28" t="s">
        <v>294</v>
      </c>
      <c r="D125" s="28" t="s">
        <v>285</v>
      </c>
      <c r="F125" s="29">
        <v>6.87</v>
      </c>
      <c r="K125" s="30"/>
    </row>
    <row r="126" spans="1:76" x14ac:dyDescent="0.25">
      <c r="A126" s="2" t="s">
        <v>298</v>
      </c>
      <c r="B126" s="3" t="s">
        <v>299</v>
      </c>
      <c r="C126" s="109" t="s">
        <v>300</v>
      </c>
      <c r="D126" s="106"/>
      <c r="E126" s="3" t="s">
        <v>84</v>
      </c>
      <c r="F126" s="24">
        <v>7.56</v>
      </c>
      <c r="G126" s="24">
        <v>0</v>
      </c>
      <c r="H126" s="24">
        <f>ROUND(F126*AO126,2)</f>
        <v>0</v>
      </c>
      <c r="I126" s="24">
        <f>ROUND(F126*AP126,2)</f>
        <v>0</v>
      </c>
      <c r="J126" s="24">
        <f>ROUND(F126*G126,2)</f>
        <v>0</v>
      </c>
      <c r="K126" s="25" t="s">
        <v>55</v>
      </c>
      <c r="Z126" s="24">
        <f>ROUND(IF(AQ126="5",BJ126,0),2)</f>
        <v>0</v>
      </c>
      <c r="AB126" s="24">
        <f>ROUND(IF(AQ126="1",BH126,0),2)</f>
        <v>0</v>
      </c>
      <c r="AC126" s="24">
        <f>ROUND(IF(AQ126="1",BI126,0),2)</f>
        <v>0</v>
      </c>
      <c r="AD126" s="24">
        <f>ROUND(IF(AQ126="7",BH126,0),2)</f>
        <v>0</v>
      </c>
      <c r="AE126" s="24">
        <f>ROUND(IF(AQ126="7",BI126,0),2)</f>
        <v>0</v>
      </c>
      <c r="AF126" s="24">
        <f>ROUND(IF(AQ126="2",BH126,0),2)</f>
        <v>0</v>
      </c>
      <c r="AG126" s="24">
        <f>ROUND(IF(AQ126="2",BI126,0),2)</f>
        <v>0</v>
      </c>
      <c r="AH126" s="24">
        <f>ROUND(IF(AQ126="0",BJ126,0),2)</f>
        <v>0</v>
      </c>
      <c r="AI126" s="10" t="s">
        <v>48</v>
      </c>
      <c r="AJ126" s="24">
        <f>IF(AN126=0,J126,0)</f>
        <v>0</v>
      </c>
      <c r="AK126" s="24">
        <f>IF(AN126=12,J126,0)</f>
        <v>0</v>
      </c>
      <c r="AL126" s="24">
        <f>IF(AN126=21,J126,0)</f>
        <v>0</v>
      </c>
      <c r="AN126" s="24">
        <v>21</v>
      </c>
      <c r="AO126" s="24">
        <f>G126*1</f>
        <v>0</v>
      </c>
      <c r="AP126" s="24">
        <f>G126*(1-1)</f>
        <v>0</v>
      </c>
      <c r="AQ126" s="26" t="s">
        <v>90</v>
      </c>
      <c r="AV126" s="24">
        <f>ROUND(AW126+AX126,2)</f>
        <v>0</v>
      </c>
      <c r="AW126" s="24">
        <f>ROUND(F126*AO126,2)</f>
        <v>0</v>
      </c>
      <c r="AX126" s="24">
        <f>ROUND(F126*AP126,2)</f>
        <v>0</v>
      </c>
      <c r="AY126" s="26" t="s">
        <v>283</v>
      </c>
      <c r="AZ126" s="26" t="s">
        <v>283</v>
      </c>
      <c r="BA126" s="10" t="s">
        <v>57</v>
      </c>
      <c r="BC126" s="24">
        <f>AW126+AX126</f>
        <v>0</v>
      </c>
      <c r="BD126" s="24">
        <f>G126/(100-BE126)*100</f>
        <v>0</v>
      </c>
      <c r="BE126" s="24">
        <v>0</v>
      </c>
      <c r="BF126" s="24">
        <f>126</f>
        <v>126</v>
      </c>
      <c r="BH126" s="24">
        <f>F126*AO126</f>
        <v>0</v>
      </c>
      <c r="BI126" s="24">
        <f>F126*AP126</f>
        <v>0</v>
      </c>
      <c r="BJ126" s="24">
        <f>F126*G126</f>
        <v>0</v>
      </c>
      <c r="BK126" s="26" t="s">
        <v>224</v>
      </c>
      <c r="BL126" s="24">
        <v>762</v>
      </c>
      <c r="BW126" s="24">
        <v>21</v>
      </c>
      <c r="BX126" s="4" t="s">
        <v>300</v>
      </c>
    </row>
    <row r="127" spans="1:76" x14ac:dyDescent="0.25">
      <c r="A127" s="27"/>
      <c r="C127" s="28" t="s">
        <v>301</v>
      </c>
      <c r="D127" s="28" t="s">
        <v>48</v>
      </c>
      <c r="F127" s="29">
        <v>6.87</v>
      </c>
      <c r="K127" s="30"/>
    </row>
    <row r="128" spans="1:76" x14ac:dyDescent="0.25">
      <c r="A128" s="27"/>
      <c r="C128" s="28" t="s">
        <v>302</v>
      </c>
      <c r="D128" s="28" t="s">
        <v>48</v>
      </c>
      <c r="F128" s="29">
        <v>0.69</v>
      </c>
      <c r="K128" s="30"/>
    </row>
    <row r="129" spans="1:76" x14ac:dyDescent="0.25">
      <c r="A129" s="2" t="s">
        <v>303</v>
      </c>
      <c r="B129" s="3" t="s">
        <v>304</v>
      </c>
      <c r="C129" s="109" t="s">
        <v>305</v>
      </c>
      <c r="D129" s="106"/>
      <c r="E129" s="3" t="s">
        <v>84</v>
      </c>
      <c r="F129" s="24">
        <v>6.87</v>
      </c>
      <c r="G129" s="24">
        <v>0</v>
      </c>
      <c r="H129" s="24">
        <f>ROUND(F129*AO129,2)</f>
        <v>0</v>
      </c>
      <c r="I129" s="24">
        <f>ROUND(F129*AP129,2)</f>
        <v>0</v>
      </c>
      <c r="J129" s="24">
        <f>ROUND(F129*G129,2)</f>
        <v>0</v>
      </c>
      <c r="K129" s="25" t="s">
        <v>55</v>
      </c>
      <c r="Z129" s="24">
        <f>ROUND(IF(AQ129="5",BJ129,0),2)</f>
        <v>0</v>
      </c>
      <c r="AB129" s="24">
        <f>ROUND(IF(AQ129="1",BH129,0),2)</f>
        <v>0</v>
      </c>
      <c r="AC129" s="24">
        <f>ROUND(IF(AQ129="1",BI129,0),2)</f>
        <v>0</v>
      </c>
      <c r="AD129" s="24">
        <f>ROUND(IF(AQ129="7",BH129,0),2)</f>
        <v>0</v>
      </c>
      <c r="AE129" s="24">
        <f>ROUND(IF(AQ129="7",BI129,0),2)</f>
        <v>0</v>
      </c>
      <c r="AF129" s="24">
        <f>ROUND(IF(AQ129="2",BH129,0),2)</f>
        <v>0</v>
      </c>
      <c r="AG129" s="24">
        <f>ROUND(IF(AQ129="2",BI129,0),2)</f>
        <v>0</v>
      </c>
      <c r="AH129" s="24">
        <f>ROUND(IF(AQ129="0",BJ129,0),2)</f>
        <v>0</v>
      </c>
      <c r="AI129" s="10" t="s">
        <v>48</v>
      </c>
      <c r="AJ129" s="24">
        <f>IF(AN129=0,J129,0)</f>
        <v>0</v>
      </c>
      <c r="AK129" s="24">
        <f>IF(AN129=12,J129,0)</f>
        <v>0</v>
      </c>
      <c r="AL129" s="24">
        <f>IF(AN129=21,J129,0)</f>
        <v>0</v>
      </c>
      <c r="AN129" s="24">
        <v>21</v>
      </c>
      <c r="AO129" s="24">
        <f>G129*1</f>
        <v>0</v>
      </c>
      <c r="AP129" s="24">
        <f>G129*(1-1)</f>
        <v>0</v>
      </c>
      <c r="AQ129" s="26" t="s">
        <v>90</v>
      </c>
      <c r="AV129" s="24">
        <f>ROUND(AW129+AX129,2)</f>
        <v>0</v>
      </c>
      <c r="AW129" s="24">
        <f>ROUND(F129*AO129,2)</f>
        <v>0</v>
      </c>
      <c r="AX129" s="24">
        <f>ROUND(F129*AP129,2)</f>
        <v>0</v>
      </c>
      <c r="AY129" s="26" t="s">
        <v>283</v>
      </c>
      <c r="AZ129" s="26" t="s">
        <v>283</v>
      </c>
      <c r="BA129" s="10" t="s">
        <v>57</v>
      </c>
      <c r="BC129" s="24">
        <f>AW129+AX129</f>
        <v>0</v>
      </c>
      <c r="BD129" s="24">
        <f>G129/(100-BE129)*100</f>
        <v>0</v>
      </c>
      <c r="BE129" s="24">
        <v>0</v>
      </c>
      <c r="BF129" s="24">
        <f>129</f>
        <v>129</v>
      </c>
      <c r="BH129" s="24">
        <f>F129*AO129</f>
        <v>0</v>
      </c>
      <c r="BI129" s="24">
        <f>F129*AP129</f>
        <v>0</v>
      </c>
      <c r="BJ129" s="24">
        <f>F129*G129</f>
        <v>0</v>
      </c>
      <c r="BK129" s="26" t="s">
        <v>58</v>
      </c>
      <c r="BL129" s="24">
        <v>762</v>
      </c>
      <c r="BW129" s="24">
        <v>21</v>
      </c>
      <c r="BX129" s="4" t="s">
        <v>305</v>
      </c>
    </row>
    <row r="130" spans="1:76" x14ac:dyDescent="0.25">
      <c r="A130" s="2" t="s">
        <v>306</v>
      </c>
      <c r="B130" s="3" t="s">
        <v>307</v>
      </c>
      <c r="C130" s="109" t="s">
        <v>308</v>
      </c>
      <c r="D130" s="106"/>
      <c r="E130" s="3" t="s">
        <v>54</v>
      </c>
      <c r="F130" s="24">
        <v>0.2</v>
      </c>
      <c r="G130" s="24">
        <v>0</v>
      </c>
      <c r="H130" s="24">
        <f>ROUND(F130*AO130,2)</f>
        <v>0</v>
      </c>
      <c r="I130" s="24">
        <f>ROUND(F130*AP130,2)</f>
        <v>0</v>
      </c>
      <c r="J130" s="24">
        <f>ROUND(F130*G130,2)</f>
        <v>0</v>
      </c>
      <c r="K130" s="25" t="s">
        <v>55</v>
      </c>
      <c r="Z130" s="24">
        <f>ROUND(IF(AQ130="5",BJ130,0),2)</f>
        <v>0</v>
      </c>
      <c r="AB130" s="24">
        <f>ROUND(IF(AQ130="1",BH130,0),2)</f>
        <v>0</v>
      </c>
      <c r="AC130" s="24">
        <f>ROUND(IF(AQ130="1",BI130,0),2)</f>
        <v>0</v>
      </c>
      <c r="AD130" s="24">
        <f>ROUND(IF(AQ130="7",BH130,0),2)</f>
        <v>0</v>
      </c>
      <c r="AE130" s="24">
        <f>ROUND(IF(AQ130="7",BI130,0),2)</f>
        <v>0</v>
      </c>
      <c r="AF130" s="24">
        <f>ROUND(IF(AQ130="2",BH130,0),2)</f>
        <v>0</v>
      </c>
      <c r="AG130" s="24">
        <f>ROUND(IF(AQ130="2",BI130,0),2)</f>
        <v>0</v>
      </c>
      <c r="AH130" s="24">
        <f>ROUND(IF(AQ130="0",BJ130,0),2)</f>
        <v>0</v>
      </c>
      <c r="AI130" s="10" t="s">
        <v>48</v>
      </c>
      <c r="AJ130" s="24">
        <f>IF(AN130=0,J130,0)</f>
        <v>0</v>
      </c>
      <c r="AK130" s="24">
        <f>IF(AN130=12,J130,0)</f>
        <v>0</v>
      </c>
      <c r="AL130" s="24">
        <f>IF(AN130=21,J130,0)</f>
        <v>0</v>
      </c>
      <c r="AN130" s="24">
        <v>21</v>
      </c>
      <c r="AO130" s="24">
        <f>G130*1</f>
        <v>0</v>
      </c>
      <c r="AP130" s="24">
        <f>G130*(1-1)</f>
        <v>0</v>
      </c>
      <c r="AQ130" s="26" t="s">
        <v>90</v>
      </c>
      <c r="AV130" s="24">
        <f>ROUND(AW130+AX130,2)</f>
        <v>0</v>
      </c>
      <c r="AW130" s="24">
        <f>ROUND(F130*AO130,2)</f>
        <v>0</v>
      </c>
      <c r="AX130" s="24">
        <f>ROUND(F130*AP130,2)</f>
        <v>0</v>
      </c>
      <c r="AY130" s="26" t="s">
        <v>283</v>
      </c>
      <c r="AZ130" s="26" t="s">
        <v>283</v>
      </c>
      <c r="BA130" s="10" t="s">
        <v>57</v>
      </c>
      <c r="BC130" s="24">
        <f>AW130+AX130</f>
        <v>0</v>
      </c>
      <c r="BD130" s="24">
        <f>G130/(100-BE130)*100</f>
        <v>0</v>
      </c>
      <c r="BE130" s="24">
        <v>0</v>
      </c>
      <c r="BF130" s="24">
        <f>130</f>
        <v>130</v>
      </c>
      <c r="BH130" s="24">
        <f>F130*AO130</f>
        <v>0</v>
      </c>
      <c r="BI130" s="24">
        <f>F130*AP130</f>
        <v>0</v>
      </c>
      <c r="BJ130" s="24">
        <f>F130*G130</f>
        <v>0</v>
      </c>
      <c r="BK130" s="26" t="s">
        <v>58</v>
      </c>
      <c r="BL130" s="24">
        <v>762</v>
      </c>
      <c r="BW130" s="24">
        <v>21</v>
      </c>
      <c r="BX130" s="4" t="s">
        <v>308</v>
      </c>
    </row>
    <row r="131" spans="1:76" x14ac:dyDescent="0.25">
      <c r="A131" s="31" t="s">
        <v>48</v>
      </c>
      <c r="B131" s="32" t="s">
        <v>309</v>
      </c>
      <c r="C131" s="181" t="s">
        <v>310</v>
      </c>
      <c r="D131" s="182"/>
      <c r="E131" s="33" t="s">
        <v>4</v>
      </c>
      <c r="F131" s="33" t="s">
        <v>4</v>
      </c>
      <c r="G131" s="33" t="s">
        <v>4</v>
      </c>
      <c r="H131" s="1">
        <f>ROUND(SUM(H132:H139),2)</f>
        <v>0</v>
      </c>
      <c r="I131" s="1">
        <f>ROUND(SUM(I132:I139),2)</f>
        <v>0</v>
      </c>
      <c r="J131" s="1">
        <f>ROUND(SUM(J132:J139),2)</f>
        <v>0</v>
      </c>
      <c r="K131" s="34" t="s">
        <v>48</v>
      </c>
      <c r="AI131" s="10" t="s">
        <v>48</v>
      </c>
      <c r="AS131" s="1">
        <f>SUM(AJ132:AJ139)</f>
        <v>0</v>
      </c>
      <c r="AT131" s="1">
        <f>SUM(AK132:AK139)</f>
        <v>0</v>
      </c>
      <c r="AU131" s="1">
        <f>SUM(AL132:AL139)</f>
        <v>0</v>
      </c>
    </row>
    <row r="132" spans="1:76" x14ac:dyDescent="0.25">
      <c r="A132" s="2" t="s">
        <v>311</v>
      </c>
      <c r="B132" s="3" t="s">
        <v>312</v>
      </c>
      <c r="C132" s="109" t="s">
        <v>313</v>
      </c>
      <c r="D132" s="106"/>
      <c r="E132" s="3" t="s">
        <v>84</v>
      </c>
      <c r="F132" s="24">
        <v>48.03</v>
      </c>
      <c r="G132" s="24">
        <v>0</v>
      </c>
      <c r="H132" s="24">
        <f>ROUND(F132*AO132,2)</f>
        <v>0</v>
      </c>
      <c r="I132" s="24">
        <f>ROUND(F132*AP132,2)</f>
        <v>0</v>
      </c>
      <c r="J132" s="24">
        <f>ROUND(F132*G132,2)</f>
        <v>0</v>
      </c>
      <c r="K132" s="25" t="s">
        <v>55</v>
      </c>
      <c r="Z132" s="24">
        <f>ROUND(IF(AQ132="5",BJ132,0),2)</f>
        <v>0</v>
      </c>
      <c r="AB132" s="24">
        <f>ROUND(IF(AQ132="1",BH132,0),2)</f>
        <v>0</v>
      </c>
      <c r="AC132" s="24">
        <f>ROUND(IF(AQ132="1",BI132,0),2)</f>
        <v>0</v>
      </c>
      <c r="AD132" s="24">
        <f>ROUND(IF(AQ132="7",BH132,0),2)</f>
        <v>0</v>
      </c>
      <c r="AE132" s="24">
        <f>ROUND(IF(AQ132="7",BI132,0),2)</f>
        <v>0</v>
      </c>
      <c r="AF132" s="24">
        <f>ROUND(IF(AQ132="2",BH132,0),2)</f>
        <v>0</v>
      </c>
      <c r="AG132" s="24">
        <f>ROUND(IF(AQ132="2",BI132,0),2)</f>
        <v>0</v>
      </c>
      <c r="AH132" s="24">
        <f>ROUND(IF(AQ132="0",BJ132,0),2)</f>
        <v>0</v>
      </c>
      <c r="AI132" s="10" t="s">
        <v>48</v>
      </c>
      <c r="AJ132" s="24">
        <f>IF(AN132=0,J132,0)</f>
        <v>0</v>
      </c>
      <c r="AK132" s="24">
        <f>IF(AN132=12,J132,0)</f>
        <v>0</v>
      </c>
      <c r="AL132" s="24">
        <f>IF(AN132=21,J132,0)</f>
        <v>0</v>
      </c>
      <c r="AN132" s="24">
        <v>21</v>
      </c>
      <c r="AO132" s="24">
        <f>G132*0.022696489</f>
        <v>0</v>
      </c>
      <c r="AP132" s="24">
        <f>G132*(1-0.022696489)</f>
        <v>0</v>
      </c>
      <c r="AQ132" s="26" t="s">
        <v>90</v>
      </c>
      <c r="AV132" s="24">
        <f>ROUND(AW132+AX132,2)</f>
        <v>0</v>
      </c>
      <c r="AW132" s="24">
        <f>ROUND(F132*AO132,2)</f>
        <v>0</v>
      </c>
      <c r="AX132" s="24">
        <f>ROUND(F132*AP132,2)</f>
        <v>0</v>
      </c>
      <c r="AY132" s="26" t="s">
        <v>314</v>
      </c>
      <c r="AZ132" s="26" t="s">
        <v>314</v>
      </c>
      <c r="BA132" s="10" t="s">
        <v>57</v>
      </c>
      <c r="BC132" s="24">
        <f>AW132+AX132</f>
        <v>0</v>
      </c>
      <c r="BD132" s="24">
        <f>G132/(100-BE132)*100</f>
        <v>0</v>
      </c>
      <c r="BE132" s="24">
        <v>0</v>
      </c>
      <c r="BF132" s="24">
        <f>132</f>
        <v>132</v>
      </c>
      <c r="BH132" s="24">
        <f>F132*AO132</f>
        <v>0</v>
      </c>
      <c r="BI132" s="24">
        <f>F132*AP132</f>
        <v>0</v>
      </c>
      <c r="BJ132" s="24">
        <f>F132*G132</f>
        <v>0</v>
      </c>
      <c r="BK132" s="26" t="s">
        <v>58</v>
      </c>
      <c r="BL132" s="24">
        <v>766</v>
      </c>
      <c r="BW132" s="24">
        <v>21</v>
      </c>
      <c r="BX132" s="4" t="s">
        <v>313</v>
      </c>
    </row>
    <row r="133" spans="1:76" x14ac:dyDescent="0.25">
      <c r="A133" s="27"/>
      <c r="C133" s="28" t="s">
        <v>315</v>
      </c>
      <c r="D133" s="28" t="s">
        <v>316</v>
      </c>
      <c r="F133" s="29">
        <v>48.03</v>
      </c>
      <c r="K133" s="30"/>
    </row>
    <row r="134" spans="1:76" x14ac:dyDescent="0.25">
      <c r="A134" s="2" t="s">
        <v>317</v>
      </c>
      <c r="B134" s="3" t="s">
        <v>318</v>
      </c>
      <c r="C134" s="109" t="s">
        <v>319</v>
      </c>
      <c r="D134" s="106"/>
      <c r="E134" s="3" t="s">
        <v>152</v>
      </c>
      <c r="F134" s="24">
        <v>1</v>
      </c>
      <c r="G134" s="24">
        <v>0</v>
      </c>
      <c r="H134" s="24">
        <f>ROUND(F134*AO134,2)</f>
        <v>0</v>
      </c>
      <c r="I134" s="24">
        <f>ROUND(F134*AP134,2)</f>
        <v>0</v>
      </c>
      <c r="J134" s="24">
        <f>ROUND(F134*G134,2)</f>
        <v>0</v>
      </c>
      <c r="K134" s="25" t="s">
        <v>55</v>
      </c>
      <c r="Z134" s="24">
        <f>ROUND(IF(AQ134="5",BJ134,0),2)</f>
        <v>0</v>
      </c>
      <c r="AB134" s="24">
        <f>ROUND(IF(AQ134="1",BH134,0),2)</f>
        <v>0</v>
      </c>
      <c r="AC134" s="24">
        <f>ROUND(IF(AQ134="1",BI134,0),2)</f>
        <v>0</v>
      </c>
      <c r="AD134" s="24">
        <f>ROUND(IF(AQ134="7",BH134,0),2)</f>
        <v>0</v>
      </c>
      <c r="AE134" s="24">
        <f>ROUND(IF(AQ134="7",BI134,0),2)</f>
        <v>0</v>
      </c>
      <c r="AF134" s="24">
        <f>ROUND(IF(AQ134="2",BH134,0),2)</f>
        <v>0</v>
      </c>
      <c r="AG134" s="24">
        <f>ROUND(IF(AQ134="2",BI134,0),2)</f>
        <v>0</v>
      </c>
      <c r="AH134" s="24">
        <f>ROUND(IF(AQ134="0",BJ134,0),2)</f>
        <v>0</v>
      </c>
      <c r="AI134" s="10" t="s">
        <v>48</v>
      </c>
      <c r="AJ134" s="24">
        <f>IF(AN134=0,J134,0)</f>
        <v>0</v>
      </c>
      <c r="AK134" s="24">
        <f>IF(AN134=12,J134,0)</f>
        <v>0</v>
      </c>
      <c r="AL134" s="24">
        <f>IF(AN134=21,J134,0)</f>
        <v>0</v>
      </c>
      <c r="AN134" s="24">
        <v>21</v>
      </c>
      <c r="AO134" s="24">
        <f>G134*0</f>
        <v>0</v>
      </c>
      <c r="AP134" s="24">
        <f>G134*(1-0)</f>
        <v>0</v>
      </c>
      <c r="AQ134" s="26" t="s">
        <v>90</v>
      </c>
      <c r="AV134" s="24">
        <f>ROUND(AW134+AX134,2)</f>
        <v>0</v>
      </c>
      <c r="AW134" s="24">
        <f>ROUND(F134*AO134,2)</f>
        <v>0</v>
      </c>
      <c r="AX134" s="24">
        <f>ROUND(F134*AP134,2)</f>
        <v>0</v>
      </c>
      <c r="AY134" s="26" t="s">
        <v>314</v>
      </c>
      <c r="AZ134" s="26" t="s">
        <v>314</v>
      </c>
      <c r="BA134" s="10" t="s">
        <v>57</v>
      </c>
      <c r="BC134" s="24">
        <f>AW134+AX134</f>
        <v>0</v>
      </c>
      <c r="BD134" s="24">
        <f>G134/(100-BE134)*100</f>
        <v>0</v>
      </c>
      <c r="BE134" s="24">
        <v>0</v>
      </c>
      <c r="BF134" s="24">
        <f>134</f>
        <v>134</v>
      </c>
      <c r="BH134" s="24">
        <f>F134*AO134</f>
        <v>0</v>
      </c>
      <c r="BI134" s="24">
        <f>F134*AP134</f>
        <v>0</v>
      </c>
      <c r="BJ134" s="24">
        <f>F134*G134</f>
        <v>0</v>
      </c>
      <c r="BK134" s="26" t="s">
        <v>58</v>
      </c>
      <c r="BL134" s="24">
        <v>766</v>
      </c>
      <c r="BW134" s="24">
        <v>21</v>
      </c>
      <c r="BX134" s="4" t="s">
        <v>319</v>
      </c>
    </row>
    <row r="135" spans="1:76" x14ac:dyDescent="0.25">
      <c r="A135" s="27"/>
      <c r="C135" s="28" t="s">
        <v>51</v>
      </c>
      <c r="D135" s="28" t="s">
        <v>220</v>
      </c>
      <c r="F135" s="29">
        <v>1</v>
      </c>
      <c r="K135" s="30"/>
    </row>
    <row r="136" spans="1:76" x14ac:dyDescent="0.25">
      <c r="A136" s="2" t="s">
        <v>320</v>
      </c>
      <c r="B136" s="3" t="s">
        <v>321</v>
      </c>
      <c r="C136" s="109" t="s">
        <v>322</v>
      </c>
      <c r="D136" s="106"/>
      <c r="E136" s="3" t="s">
        <v>152</v>
      </c>
      <c r="F136" s="24">
        <v>1</v>
      </c>
      <c r="G136" s="24">
        <v>0</v>
      </c>
      <c r="H136" s="24">
        <f>ROUND(F136*AO136,2)</f>
        <v>0</v>
      </c>
      <c r="I136" s="24">
        <f>ROUND(F136*AP136,2)</f>
        <v>0</v>
      </c>
      <c r="J136" s="24">
        <f>ROUND(F136*G136,2)</f>
        <v>0</v>
      </c>
      <c r="K136" s="25" t="s">
        <v>55</v>
      </c>
      <c r="Z136" s="24">
        <f>ROUND(IF(AQ136="5",BJ136,0),2)</f>
        <v>0</v>
      </c>
      <c r="AB136" s="24">
        <f>ROUND(IF(AQ136="1",BH136,0),2)</f>
        <v>0</v>
      </c>
      <c r="AC136" s="24">
        <f>ROUND(IF(AQ136="1",BI136,0),2)</f>
        <v>0</v>
      </c>
      <c r="AD136" s="24">
        <f>ROUND(IF(AQ136="7",BH136,0),2)</f>
        <v>0</v>
      </c>
      <c r="AE136" s="24">
        <f>ROUND(IF(AQ136="7",BI136,0),2)</f>
        <v>0</v>
      </c>
      <c r="AF136" s="24">
        <f>ROUND(IF(AQ136="2",BH136,0),2)</f>
        <v>0</v>
      </c>
      <c r="AG136" s="24">
        <f>ROUND(IF(AQ136="2",BI136,0),2)</f>
        <v>0</v>
      </c>
      <c r="AH136" s="24">
        <f>ROUND(IF(AQ136="0",BJ136,0),2)</f>
        <v>0</v>
      </c>
      <c r="AI136" s="10" t="s">
        <v>48</v>
      </c>
      <c r="AJ136" s="24">
        <f>IF(AN136=0,J136,0)</f>
        <v>0</v>
      </c>
      <c r="AK136" s="24">
        <f>IF(AN136=12,J136,0)</f>
        <v>0</v>
      </c>
      <c r="AL136" s="24">
        <f>IF(AN136=21,J136,0)</f>
        <v>0</v>
      </c>
      <c r="AN136" s="24">
        <v>21</v>
      </c>
      <c r="AO136" s="24">
        <f>G136*1</f>
        <v>0</v>
      </c>
      <c r="AP136" s="24">
        <f>G136*(1-1)</f>
        <v>0</v>
      </c>
      <c r="AQ136" s="26" t="s">
        <v>90</v>
      </c>
      <c r="AV136" s="24">
        <f>ROUND(AW136+AX136,2)</f>
        <v>0</v>
      </c>
      <c r="AW136" s="24">
        <f>ROUND(F136*AO136,2)</f>
        <v>0</v>
      </c>
      <c r="AX136" s="24">
        <f>ROUND(F136*AP136,2)</f>
        <v>0</v>
      </c>
      <c r="AY136" s="26" t="s">
        <v>314</v>
      </c>
      <c r="AZ136" s="26" t="s">
        <v>314</v>
      </c>
      <c r="BA136" s="10" t="s">
        <v>57</v>
      </c>
      <c r="BC136" s="24">
        <f>AW136+AX136</f>
        <v>0</v>
      </c>
      <c r="BD136" s="24">
        <f>G136/(100-BE136)*100</f>
        <v>0</v>
      </c>
      <c r="BE136" s="24">
        <v>0</v>
      </c>
      <c r="BF136" s="24">
        <f>136</f>
        <v>136</v>
      </c>
      <c r="BH136" s="24">
        <f>F136*AO136</f>
        <v>0</v>
      </c>
      <c r="BI136" s="24">
        <f>F136*AP136</f>
        <v>0</v>
      </c>
      <c r="BJ136" s="24">
        <f>F136*G136</f>
        <v>0</v>
      </c>
      <c r="BK136" s="26" t="s">
        <v>224</v>
      </c>
      <c r="BL136" s="24">
        <v>766</v>
      </c>
      <c r="BW136" s="24">
        <v>21</v>
      </c>
      <c r="BX136" s="4" t="s">
        <v>322</v>
      </c>
    </row>
    <row r="137" spans="1:76" x14ac:dyDescent="0.25">
      <c r="A137" s="2" t="s">
        <v>323</v>
      </c>
      <c r="B137" s="3" t="s">
        <v>324</v>
      </c>
      <c r="C137" s="109" t="s">
        <v>325</v>
      </c>
      <c r="D137" s="106"/>
      <c r="E137" s="3" t="s">
        <v>84</v>
      </c>
      <c r="F137" s="24">
        <v>18</v>
      </c>
      <c r="G137" s="24">
        <v>0</v>
      </c>
      <c r="H137" s="24">
        <f>ROUND(F137*AO137,2)</f>
        <v>0</v>
      </c>
      <c r="I137" s="24">
        <f>ROUND(F137*AP137,2)</f>
        <v>0</v>
      </c>
      <c r="J137" s="24">
        <f>ROUND(F137*G137,2)</f>
        <v>0</v>
      </c>
      <c r="K137" s="25" t="s">
        <v>55</v>
      </c>
      <c r="Z137" s="24">
        <f>ROUND(IF(AQ137="5",BJ137,0),2)</f>
        <v>0</v>
      </c>
      <c r="AB137" s="24">
        <f>ROUND(IF(AQ137="1",BH137,0),2)</f>
        <v>0</v>
      </c>
      <c r="AC137" s="24">
        <f>ROUND(IF(AQ137="1",BI137,0),2)</f>
        <v>0</v>
      </c>
      <c r="AD137" s="24">
        <f>ROUND(IF(AQ137="7",BH137,0),2)</f>
        <v>0</v>
      </c>
      <c r="AE137" s="24">
        <f>ROUND(IF(AQ137="7",BI137,0),2)</f>
        <v>0</v>
      </c>
      <c r="AF137" s="24">
        <f>ROUND(IF(AQ137="2",BH137,0),2)</f>
        <v>0</v>
      </c>
      <c r="AG137" s="24">
        <f>ROUND(IF(AQ137="2",BI137,0),2)</f>
        <v>0</v>
      </c>
      <c r="AH137" s="24">
        <f>ROUND(IF(AQ137="0",BJ137,0),2)</f>
        <v>0</v>
      </c>
      <c r="AI137" s="10" t="s">
        <v>48</v>
      </c>
      <c r="AJ137" s="24">
        <f>IF(AN137=0,J137,0)</f>
        <v>0</v>
      </c>
      <c r="AK137" s="24">
        <f>IF(AN137=12,J137,0)</f>
        <v>0</v>
      </c>
      <c r="AL137" s="24">
        <f>IF(AN137=21,J137,0)</f>
        <v>0</v>
      </c>
      <c r="AN137" s="24">
        <v>21</v>
      </c>
      <c r="AO137" s="24">
        <f>G137*0.014846499</f>
        <v>0</v>
      </c>
      <c r="AP137" s="24">
        <f>G137*(1-0.014846499)</f>
        <v>0</v>
      </c>
      <c r="AQ137" s="26" t="s">
        <v>90</v>
      </c>
      <c r="AV137" s="24">
        <f>ROUND(AW137+AX137,2)</f>
        <v>0</v>
      </c>
      <c r="AW137" s="24">
        <f>ROUND(F137*AO137,2)</f>
        <v>0</v>
      </c>
      <c r="AX137" s="24">
        <f>ROUND(F137*AP137,2)</f>
        <v>0</v>
      </c>
      <c r="AY137" s="26" t="s">
        <v>314</v>
      </c>
      <c r="AZ137" s="26" t="s">
        <v>314</v>
      </c>
      <c r="BA137" s="10" t="s">
        <v>57</v>
      </c>
      <c r="BC137" s="24">
        <f>AW137+AX137</f>
        <v>0</v>
      </c>
      <c r="BD137" s="24">
        <f>G137/(100-BE137)*100</f>
        <v>0</v>
      </c>
      <c r="BE137" s="24">
        <v>0</v>
      </c>
      <c r="BF137" s="24">
        <f>137</f>
        <v>137</v>
      </c>
      <c r="BH137" s="24">
        <f>F137*AO137</f>
        <v>0</v>
      </c>
      <c r="BI137" s="24">
        <f>F137*AP137</f>
        <v>0</v>
      </c>
      <c r="BJ137" s="24">
        <f>F137*G137</f>
        <v>0</v>
      </c>
      <c r="BK137" s="26" t="s">
        <v>58</v>
      </c>
      <c r="BL137" s="24">
        <v>766</v>
      </c>
      <c r="BW137" s="24">
        <v>21</v>
      </c>
      <c r="BX137" s="4" t="s">
        <v>325</v>
      </c>
    </row>
    <row r="138" spans="1:76" x14ac:dyDescent="0.25">
      <c r="A138" s="27"/>
      <c r="C138" s="28" t="s">
        <v>326</v>
      </c>
      <c r="D138" s="28" t="s">
        <v>327</v>
      </c>
      <c r="F138" s="29">
        <v>18</v>
      </c>
      <c r="K138" s="30"/>
    </row>
    <row r="139" spans="1:76" x14ac:dyDescent="0.25">
      <c r="A139" s="2" t="s">
        <v>328</v>
      </c>
      <c r="B139" s="3" t="s">
        <v>329</v>
      </c>
      <c r="C139" s="109" t="s">
        <v>330</v>
      </c>
      <c r="D139" s="106"/>
      <c r="E139" s="3" t="s">
        <v>104</v>
      </c>
      <c r="F139" s="24">
        <v>0.03</v>
      </c>
      <c r="G139" s="24">
        <v>0</v>
      </c>
      <c r="H139" s="24">
        <f>ROUND(F139*AO139,2)</f>
        <v>0</v>
      </c>
      <c r="I139" s="24">
        <f>ROUND(F139*AP139,2)</f>
        <v>0</v>
      </c>
      <c r="J139" s="24">
        <f>ROUND(F139*G139,2)</f>
        <v>0</v>
      </c>
      <c r="K139" s="25" t="s">
        <v>55</v>
      </c>
      <c r="Z139" s="24">
        <f>ROUND(IF(AQ139="5",BJ139,0),2)</f>
        <v>0</v>
      </c>
      <c r="AB139" s="24">
        <f>ROUND(IF(AQ139="1",BH139,0),2)</f>
        <v>0</v>
      </c>
      <c r="AC139" s="24">
        <f>ROUND(IF(AQ139="1",BI139,0),2)</f>
        <v>0</v>
      </c>
      <c r="AD139" s="24">
        <f>ROUND(IF(AQ139="7",BH139,0),2)</f>
        <v>0</v>
      </c>
      <c r="AE139" s="24">
        <f>ROUND(IF(AQ139="7",BI139,0),2)</f>
        <v>0</v>
      </c>
      <c r="AF139" s="24">
        <f>ROUND(IF(AQ139="2",BH139,0),2)</f>
        <v>0</v>
      </c>
      <c r="AG139" s="24">
        <f>ROUND(IF(AQ139="2",BI139,0),2)</f>
        <v>0</v>
      </c>
      <c r="AH139" s="24">
        <f>ROUND(IF(AQ139="0",BJ139,0),2)</f>
        <v>0</v>
      </c>
      <c r="AI139" s="10" t="s">
        <v>48</v>
      </c>
      <c r="AJ139" s="24">
        <f>IF(AN139=0,J139,0)</f>
        <v>0</v>
      </c>
      <c r="AK139" s="24">
        <f>IF(AN139=12,J139,0)</f>
        <v>0</v>
      </c>
      <c r="AL139" s="24">
        <f>IF(AN139=21,J139,0)</f>
        <v>0</v>
      </c>
      <c r="AN139" s="24">
        <v>21</v>
      </c>
      <c r="AO139" s="24">
        <f>G139*0</f>
        <v>0</v>
      </c>
      <c r="AP139" s="24">
        <f>G139*(1-0)</f>
        <v>0</v>
      </c>
      <c r="AQ139" s="26" t="s">
        <v>75</v>
      </c>
      <c r="AV139" s="24">
        <f>ROUND(AW139+AX139,2)</f>
        <v>0</v>
      </c>
      <c r="AW139" s="24">
        <f>ROUND(F139*AO139,2)</f>
        <v>0</v>
      </c>
      <c r="AX139" s="24">
        <f>ROUND(F139*AP139,2)</f>
        <v>0</v>
      </c>
      <c r="AY139" s="26" t="s">
        <v>314</v>
      </c>
      <c r="AZ139" s="26" t="s">
        <v>314</v>
      </c>
      <c r="BA139" s="10" t="s">
        <v>57</v>
      </c>
      <c r="BC139" s="24">
        <f>AW139+AX139</f>
        <v>0</v>
      </c>
      <c r="BD139" s="24">
        <f>G139/(100-BE139)*100</f>
        <v>0</v>
      </c>
      <c r="BE139" s="24">
        <v>0</v>
      </c>
      <c r="BF139" s="24">
        <f>139</f>
        <v>139</v>
      </c>
      <c r="BH139" s="24">
        <f>F139*AO139</f>
        <v>0</v>
      </c>
      <c r="BI139" s="24">
        <f>F139*AP139</f>
        <v>0</v>
      </c>
      <c r="BJ139" s="24">
        <f>F139*G139</f>
        <v>0</v>
      </c>
      <c r="BK139" s="26" t="s">
        <v>58</v>
      </c>
      <c r="BL139" s="24">
        <v>766</v>
      </c>
      <c r="BW139" s="24">
        <v>21</v>
      </c>
      <c r="BX139" s="4" t="s">
        <v>330</v>
      </c>
    </row>
    <row r="140" spans="1:76" x14ac:dyDescent="0.25">
      <c r="A140" s="31" t="s">
        <v>48</v>
      </c>
      <c r="B140" s="32" t="s">
        <v>331</v>
      </c>
      <c r="C140" s="181" t="s">
        <v>332</v>
      </c>
      <c r="D140" s="182"/>
      <c r="E140" s="33" t="s">
        <v>4</v>
      </c>
      <c r="F140" s="33" t="s">
        <v>4</v>
      </c>
      <c r="G140" s="33" t="s">
        <v>4</v>
      </c>
      <c r="H140" s="1">
        <f>ROUND(SUM(H141:H158),2)</f>
        <v>0</v>
      </c>
      <c r="I140" s="1">
        <f>ROUND(SUM(I141:I158),2)</f>
        <v>0</v>
      </c>
      <c r="J140" s="1">
        <f>ROUND(SUM(J141:J158),2)</f>
        <v>0</v>
      </c>
      <c r="K140" s="34" t="s">
        <v>48</v>
      </c>
      <c r="AI140" s="10" t="s">
        <v>48</v>
      </c>
      <c r="AS140" s="1">
        <f>SUM(AJ141:AJ158)</f>
        <v>0</v>
      </c>
      <c r="AT140" s="1">
        <f>SUM(AK141:AK158)</f>
        <v>0</v>
      </c>
      <c r="AU140" s="1">
        <f>SUM(AL141:AL158)</f>
        <v>0</v>
      </c>
    </row>
    <row r="141" spans="1:76" x14ac:dyDescent="0.25">
      <c r="A141" s="2" t="s">
        <v>333</v>
      </c>
      <c r="B141" s="3" t="s">
        <v>334</v>
      </c>
      <c r="C141" s="109" t="s">
        <v>335</v>
      </c>
      <c r="D141" s="106"/>
      <c r="E141" s="3" t="s">
        <v>190</v>
      </c>
      <c r="F141" s="24">
        <v>24.71</v>
      </c>
      <c r="G141" s="24">
        <v>0</v>
      </c>
      <c r="H141" s="24">
        <f>ROUND(F141*AO141,2)</f>
        <v>0</v>
      </c>
      <c r="I141" s="24">
        <f>ROUND(F141*AP141,2)</f>
        <v>0</v>
      </c>
      <c r="J141" s="24">
        <f>ROUND(F141*G141,2)</f>
        <v>0</v>
      </c>
      <c r="K141" s="25" t="s">
        <v>55</v>
      </c>
      <c r="Z141" s="24">
        <f>ROUND(IF(AQ141="5",BJ141,0),2)</f>
        <v>0</v>
      </c>
      <c r="AB141" s="24">
        <f>ROUND(IF(AQ141="1",BH141,0),2)</f>
        <v>0</v>
      </c>
      <c r="AC141" s="24">
        <f>ROUND(IF(AQ141="1",BI141,0),2)</f>
        <v>0</v>
      </c>
      <c r="AD141" s="24">
        <f>ROUND(IF(AQ141="7",BH141,0),2)</f>
        <v>0</v>
      </c>
      <c r="AE141" s="24">
        <f>ROUND(IF(AQ141="7",BI141,0),2)</f>
        <v>0</v>
      </c>
      <c r="AF141" s="24">
        <f>ROUND(IF(AQ141="2",BH141,0),2)</f>
        <v>0</v>
      </c>
      <c r="AG141" s="24">
        <f>ROUND(IF(AQ141="2",BI141,0),2)</f>
        <v>0</v>
      </c>
      <c r="AH141" s="24">
        <f>ROUND(IF(AQ141="0",BJ141,0),2)</f>
        <v>0</v>
      </c>
      <c r="AI141" s="10" t="s">
        <v>48</v>
      </c>
      <c r="AJ141" s="24">
        <f>IF(AN141=0,J141,0)</f>
        <v>0</v>
      </c>
      <c r="AK141" s="24">
        <f>IF(AN141=12,J141,0)</f>
        <v>0</v>
      </c>
      <c r="AL141" s="24">
        <f>IF(AN141=21,J141,0)</f>
        <v>0</v>
      </c>
      <c r="AN141" s="24">
        <v>21</v>
      </c>
      <c r="AO141" s="24">
        <f>G141*0</f>
        <v>0</v>
      </c>
      <c r="AP141" s="24">
        <f>G141*(1-0)</f>
        <v>0</v>
      </c>
      <c r="AQ141" s="26" t="s">
        <v>90</v>
      </c>
      <c r="AV141" s="24">
        <f>ROUND(AW141+AX141,2)</f>
        <v>0</v>
      </c>
      <c r="AW141" s="24">
        <f>ROUND(F141*AO141,2)</f>
        <v>0</v>
      </c>
      <c r="AX141" s="24">
        <f>ROUND(F141*AP141,2)</f>
        <v>0</v>
      </c>
      <c r="AY141" s="26" t="s">
        <v>336</v>
      </c>
      <c r="AZ141" s="26" t="s">
        <v>336</v>
      </c>
      <c r="BA141" s="10" t="s">
        <v>57</v>
      </c>
      <c r="BC141" s="24">
        <f>AW141+AX141</f>
        <v>0</v>
      </c>
      <c r="BD141" s="24">
        <f>G141/(100-BE141)*100</f>
        <v>0</v>
      </c>
      <c r="BE141" s="24">
        <v>0</v>
      </c>
      <c r="BF141" s="24">
        <f>141</f>
        <v>141</v>
      </c>
      <c r="BH141" s="24">
        <f>F141*AO141</f>
        <v>0</v>
      </c>
      <c r="BI141" s="24">
        <f>F141*AP141</f>
        <v>0</v>
      </c>
      <c r="BJ141" s="24">
        <f>F141*G141</f>
        <v>0</v>
      </c>
      <c r="BK141" s="26" t="s">
        <v>58</v>
      </c>
      <c r="BL141" s="24">
        <v>776</v>
      </c>
      <c r="BW141" s="24">
        <v>21</v>
      </c>
      <c r="BX141" s="4" t="s">
        <v>335</v>
      </c>
    </row>
    <row r="142" spans="1:76" x14ac:dyDescent="0.25">
      <c r="A142" s="27"/>
      <c r="C142" s="28" t="s">
        <v>259</v>
      </c>
      <c r="D142" s="28" t="s">
        <v>201</v>
      </c>
      <c r="F142" s="29">
        <v>24.71</v>
      </c>
      <c r="K142" s="30"/>
    </row>
    <row r="143" spans="1:76" x14ac:dyDescent="0.25">
      <c r="A143" s="2" t="s">
        <v>337</v>
      </c>
      <c r="B143" s="3" t="s">
        <v>338</v>
      </c>
      <c r="C143" s="109" t="s">
        <v>339</v>
      </c>
      <c r="D143" s="106"/>
      <c r="E143" s="3" t="s">
        <v>190</v>
      </c>
      <c r="F143" s="24">
        <v>48.4</v>
      </c>
      <c r="G143" s="24">
        <v>0</v>
      </c>
      <c r="H143" s="24">
        <f>ROUND(F143*AO143,2)</f>
        <v>0</v>
      </c>
      <c r="I143" s="24">
        <f>ROUND(F143*AP143,2)</f>
        <v>0</v>
      </c>
      <c r="J143" s="24">
        <f>ROUND(F143*G143,2)</f>
        <v>0</v>
      </c>
      <c r="K143" s="25" t="s">
        <v>55</v>
      </c>
      <c r="Z143" s="24">
        <f>ROUND(IF(AQ143="5",BJ143,0),2)</f>
        <v>0</v>
      </c>
      <c r="AB143" s="24">
        <f>ROUND(IF(AQ143="1",BH143,0),2)</f>
        <v>0</v>
      </c>
      <c r="AC143" s="24">
        <f>ROUND(IF(AQ143="1",BI143,0),2)</f>
        <v>0</v>
      </c>
      <c r="AD143" s="24">
        <f>ROUND(IF(AQ143="7",BH143,0),2)</f>
        <v>0</v>
      </c>
      <c r="AE143" s="24">
        <f>ROUND(IF(AQ143="7",BI143,0),2)</f>
        <v>0</v>
      </c>
      <c r="AF143" s="24">
        <f>ROUND(IF(AQ143="2",BH143,0),2)</f>
        <v>0</v>
      </c>
      <c r="AG143" s="24">
        <f>ROUND(IF(AQ143="2",BI143,0),2)</f>
        <v>0</v>
      </c>
      <c r="AH143" s="24">
        <f>ROUND(IF(AQ143="0",BJ143,0),2)</f>
        <v>0</v>
      </c>
      <c r="AI143" s="10" t="s">
        <v>48</v>
      </c>
      <c r="AJ143" s="24">
        <f>IF(AN143=0,J143,0)</f>
        <v>0</v>
      </c>
      <c r="AK143" s="24">
        <f>IF(AN143=12,J143,0)</f>
        <v>0</v>
      </c>
      <c r="AL143" s="24">
        <f>IF(AN143=21,J143,0)</f>
        <v>0</v>
      </c>
      <c r="AN143" s="24">
        <v>21</v>
      </c>
      <c r="AO143" s="24">
        <f>G143*0.069246063</f>
        <v>0</v>
      </c>
      <c r="AP143" s="24">
        <f>G143*(1-0.069246063)</f>
        <v>0</v>
      </c>
      <c r="AQ143" s="26" t="s">
        <v>90</v>
      </c>
      <c r="AV143" s="24">
        <f>ROUND(AW143+AX143,2)</f>
        <v>0</v>
      </c>
      <c r="AW143" s="24">
        <f>ROUND(F143*AO143,2)</f>
        <v>0</v>
      </c>
      <c r="AX143" s="24">
        <f>ROUND(F143*AP143,2)</f>
        <v>0</v>
      </c>
      <c r="AY143" s="26" t="s">
        <v>336</v>
      </c>
      <c r="AZ143" s="26" t="s">
        <v>336</v>
      </c>
      <c r="BA143" s="10" t="s">
        <v>57</v>
      </c>
      <c r="BC143" s="24">
        <f>AW143+AX143</f>
        <v>0</v>
      </c>
      <c r="BD143" s="24">
        <f>G143/(100-BE143)*100</f>
        <v>0</v>
      </c>
      <c r="BE143" s="24">
        <v>0</v>
      </c>
      <c r="BF143" s="24">
        <f>143</f>
        <v>143</v>
      </c>
      <c r="BH143" s="24">
        <f>F143*AO143</f>
        <v>0</v>
      </c>
      <c r="BI143" s="24">
        <f>F143*AP143</f>
        <v>0</v>
      </c>
      <c r="BJ143" s="24">
        <f>F143*G143</f>
        <v>0</v>
      </c>
      <c r="BK143" s="26" t="s">
        <v>58</v>
      </c>
      <c r="BL143" s="24">
        <v>776</v>
      </c>
      <c r="BW143" s="24">
        <v>21</v>
      </c>
      <c r="BX143" s="4" t="s">
        <v>339</v>
      </c>
    </row>
    <row r="144" spans="1:76" x14ac:dyDescent="0.25">
      <c r="A144" s="27"/>
      <c r="C144" s="28" t="s">
        <v>259</v>
      </c>
      <c r="D144" s="28" t="s">
        <v>201</v>
      </c>
      <c r="F144" s="29">
        <v>24.71</v>
      </c>
      <c r="K144" s="30"/>
    </row>
    <row r="145" spans="1:76" x14ac:dyDescent="0.25">
      <c r="A145" s="27"/>
      <c r="C145" s="28" t="s">
        <v>340</v>
      </c>
      <c r="D145" s="28" t="s">
        <v>167</v>
      </c>
      <c r="F145" s="29">
        <v>23.69</v>
      </c>
      <c r="K145" s="30"/>
    </row>
    <row r="146" spans="1:76" x14ac:dyDescent="0.25">
      <c r="A146" s="2" t="s">
        <v>161</v>
      </c>
      <c r="B146" s="3" t="s">
        <v>341</v>
      </c>
      <c r="C146" s="109" t="s">
        <v>342</v>
      </c>
      <c r="D146" s="106"/>
      <c r="E146" s="3" t="s">
        <v>190</v>
      </c>
      <c r="F146" s="24">
        <v>50.82</v>
      </c>
      <c r="G146" s="24">
        <v>0</v>
      </c>
      <c r="H146" s="24">
        <f>ROUND(F146*AO146,2)</f>
        <v>0</v>
      </c>
      <c r="I146" s="24">
        <f>ROUND(F146*AP146,2)</f>
        <v>0</v>
      </c>
      <c r="J146" s="24">
        <f>ROUND(F146*G146,2)</f>
        <v>0</v>
      </c>
      <c r="K146" s="25" t="s">
        <v>55</v>
      </c>
      <c r="Z146" s="24">
        <f>ROUND(IF(AQ146="5",BJ146,0),2)</f>
        <v>0</v>
      </c>
      <c r="AB146" s="24">
        <f>ROUND(IF(AQ146="1",BH146,0),2)</f>
        <v>0</v>
      </c>
      <c r="AC146" s="24">
        <f>ROUND(IF(AQ146="1",BI146,0),2)</f>
        <v>0</v>
      </c>
      <c r="AD146" s="24">
        <f>ROUND(IF(AQ146="7",BH146,0),2)</f>
        <v>0</v>
      </c>
      <c r="AE146" s="24">
        <f>ROUND(IF(AQ146="7",BI146,0),2)</f>
        <v>0</v>
      </c>
      <c r="AF146" s="24">
        <f>ROUND(IF(AQ146="2",BH146,0),2)</f>
        <v>0</v>
      </c>
      <c r="AG146" s="24">
        <f>ROUND(IF(AQ146="2",BI146,0),2)</f>
        <v>0</v>
      </c>
      <c r="AH146" s="24">
        <f>ROUND(IF(AQ146="0",BJ146,0),2)</f>
        <v>0</v>
      </c>
      <c r="AI146" s="10" t="s">
        <v>48</v>
      </c>
      <c r="AJ146" s="24">
        <f>IF(AN146=0,J146,0)</f>
        <v>0</v>
      </c>
      <c r="AK146" s="24">
        <f>IF(AN146=12,J146,0)</f>
        <v>0</v>
      </c>
      <c r="AL146" s="24">
        <f>IF(AN146=21,J146,0)</f>
        <v>0</v>
      </c>
      <c r="AN146" s="24">
        <v>21</v>
      </c>
      <c r="AO146" s="24">
        <f>G146*1</f>
        <v>0</v>
      </c>
      <c r="AP146" s="24">
        <f>G146*(1-1)</f>
        <v>0</v>
      </c>
      <c r="AQ146" s="26" t="s">
        <v>90</v>
      </c>
      <c r="AV146" s="24">
        <f>ROUND(AW146+AX146,2)</f>
        <v>0</v>
      </c>
      <c r="AW146" s="24">
        <f>ROUND(F146*AO146,2)</f>
        <v>0</v>
      </c>
      <c r="AX146" s="24">
        <f>ROUND(F146*AP146,2)</f>
        <v>0</v>
      </c>
      <c r="AY146" s="26" t="s">
        <v>336</v>
      </c>
      <c r="AZ146" s="26" t="s">
        <v>336</v>
      </c>
      <c r="BA146" s="10" t="s">
        <v>57</v>
      </c>
      <c r="BC146" s="24">
        <f>AW146+AX146</f>
        <v>0</v>
      </c>
      <c r="BD146" s="24">
        <f>G146/(100-BE146)*100</f>
        <v>0</v>
      </c>
      <c r="BE146" s="24">
        <v>0</v>
      </c>
      <c r="BF146" s="24">
        <f>146</f>
        <v>146</v>
      </c>
      <c r="BH146" s="24">
        <f>F146*AO146</f>
        <v>0</v>
      </c>
      <c r="BI146" s="24">
        <f>F146*AP146</f>
        <v>0</v>
      </c>
      <c r="BJ146" s="24">
        <f>F146*G146</f>
        <v>0</v>
      </c>
      <c r="BK146" s="26" t="s">
        <v>224</v>
      </c>
      <c r="BL146" s="24">
        <v>776</v>
      </c>
      <c r="BW146" s="24">
        <v>21</v>
      </c>
      <c r="BX146" s="4" t="s">
        <v>342</v>
      </c>
    </row>
    <row r="147" spans="1:76" x14ac:dyDescent="0.25">
      <c r="A147" s="27"/>
      <c r="C147" s="28" t="s">
        <v>343</v>
      </c>
      <c r="D147" s="28" t="s">
        <v>48</v>
      </c>
      <c r="F147" s="29">
        <v>48.4</v>
      </c>
      <c r="K147" s="30"/>
    </row>
    <row r="148" spans="1:76" x14ac:dyDescent="0.25">
      <c r="A148" s="27"/>
      <c r="C148" s="28" t="s">
        <v>344</v>
      </c>
      <c r="D148" s="28" t="s">
        <v>48</v>
      </c>
      <c r="F148" s="29">
        <v>2.42</v>
      </c>
      <c r="K148" s="30"/>
    </row>
    <row r="149" spans="1:76" x14ac:dyDescent="0.25">
      <c r="A149" s="2" t="s">
        <v>345</v>
      </c>
      <c r="B149" s="3" t="s">
        <v>346</v>
      </c>
      <c r="C149" s="109" t="s">
        <v>347</v>
      </c>
      <c r="D149" s="106"/>
      <c r="E149" s="3" t="s">
        <v>84</v>
      </c>
      <c r="F149" s="24">
        <v>41.94</v>
      </c>
      <c r="G149" s="24">
        <v>0</v>
      </c>
      <c r="H149" s="24">
        <f>ROUND(F149*AO149,2)</f>
        <v>0</v>
      </c>
      <c r="I149" s="24">
        <f>ROUND(F149*AP149,2)</f>
        <v>0</v>
      </c>
      <c r="J149" s="24">
        <f>ROUND(F149*G149,2)</f>
        <v>0</v>
      </c>
      <c r="K149" s="25" t="s">
        <v>55</v>
      </c>
      <c r="Z149" s="24">
        <f>ROUND(IF(AQ149="5",BJ149,0),2)</f>
        <v>0</v>
      </c>
      <c r="AB149" s="24">
        <f>ROUND(IF(AQ149="1",BH149,0),2)</f>
        <v>0</v>
      </c>
      <c r="AC149" s="24">
        <f>ROUND(IF(AQ149="1",BI149,0),2)</f>
        <v>0</v>
      </c>
      <c r="AD149" s="24">
        <f>ROUND(IF(AQ149="7",BH149,0),2)</f>
        <v>0</v>
      </c>
      <c r="AE149" s="24">
        <f>ROUND(IF(AQ149="7",BI149,0),2)</f>
        <v>0</v>
      </c>
      <c r="AF149" s="24">
        <f>ROUND(IF(AQ149="2",BH149,0),2)</f>
        <v>0</v>
      </c>
      <c r="AG149" s="24">
        <f>ROUND(IF(AQ149="2",BI149,0),2)</f>
        <v>0</v>
      </c>
      <c r="AH149" s="24">
        <f>ROUND(IF(AQ149="0",BJ149,0),2)</f>
        <v>0</v>
      </c>
      <c r="AI149" s="10" t="s">
        <v>48</v>
      </c>
      <c r="AJ149" s="24">
        <f>IF(AN149=0,J149,0)</f>
        <v>0</v>
      </c>
      <c r="AK149" s="24">
        <f>IF(AN149=12,J149,0)</f>
        <v>0</v>
      </c>
      <c r="AL149" s="24">
        <f>IF(AN149=21,J149,0)</f>
        <v>0</v>
      </c>
      <c r="AN149" s="24">
        <v>21</v>
      </c>
      <c r="AO149" s="24">
        <f>G149*0</f>
        <v>0</v>
      </c>
      <c r="AP149" s="24">
        <f>G149*(1-0)</f>
        <v>0</v>
      </c>
      <c r="AQ149" s="26" t="s">
        <v>90</v>
      </c>
      <c r="AV149" s="24">
        <f>ROUND(AW149+AX149,2)</f>
        <v>0</v>
      </c>
      <c r="AW149" s="24">
        <f>ROUND(F149*AO149,2)</f>
        <v>0</v>
      </c>
      <c r="AX149" s="24">
        <f>ROUND(F149*AP149,2)</f>
        <v>0</v>
      </c>
      <c r="AY149" s="26" t="s">
        <v>336</v>
      </c>
      <c r="AZ149" s="26" t="s">
        <v>336</v>
      </c>
      <c r="BA149" s="10" t="s">
        <v>57</v>
      </c>
      <c r="BC149" s="24">
        <f>AW149+AX149</f>
        <v>0</v>
      </c>
      <c r="BD149" s="24">
        <f>G149/(100-BE149)*100</f>
        <v>0</v>
      </c>
      <c r="BE149" s="24">
        <v>0</v>
      </c>
      <c r="BF149" s="24">
        <f>149</f>
        <v>149</v>
      </c>
      <c r="BH149" s="24">
        <f>F149*AO149</f>
        <v>0</v>
      </c>
      <c r="BI149" s="24">
        <f>F149*AP149</f>
        <v>0</v>
      </c>
      <c r="BJ149" s="24">
        <f>F149*G149</f>
        <v>0</v>
      </c>
      <c r="BK149" s="26" t="s">
        <v>58</v>
      </c>
      <c r="BL149" s="24">
        <v>776</v>
      </c>
      <c r="BW149" s="24">
        <v>21</v>
      </c>
      <c r="BX149" s="4" t="s">
        <v>347</v>
      </c>
    </row>
    <row r="150" spans="1:76" x14ac:dyDescent="0.25">
      <c r="A150" s="27"/>
      <c r="C150" s="28" t="s">
        <v>237</v>
      </c>
      <c r="D150" s="28" t="s">
        <v>201</v>
      </c>
      <c r="F150" s="29">
        <v>41.94</v>
      </c>
      <c r="K150" s="30"/>
    </row>
    <row r="151" spans="1:76" x14ac:dyDescent="0.25">
      <c r="A151" s="2" t="s">
        <v>193</v>
      </c>
      <c r="B151" s="3" t="s">
        <v>348</v>
      </c>
      <c r="C151" s="109" t="s">
        <v>349</v>
      </c>
      <c r="D151" s="106"/>
      <c r="E151" s="3" t="s">
        <v>84</v>
      </c>
      <c r="F151" s="24">
        <v>74.88</v>
      </c>
      <c r="G151" s="24">
        <v>0</v>
      </c>
      <c r="H151" s="24">
        <f>ROUND(F151*AO151,2)</f>
        <v>0</v>
      </c>
      <c r="I151" s="24">
        <f>ROUND(F151*AP151,2)</f>
        <v>0</v>
      </c>
      <c r="J151" s="24">
        <f>ROUND(F151*G151,2)</f>
        <v>0</v>
      </c>
      <c r="K151" s="25" t="s">
        <v>55</v>
      </c>
      <c r="Z151" s="24">
        <f>ROUND(IF(AQ151="5",BJ151,0),2)</f>
        <v>0</v>
      </c>
      <c r="AB151" s="24">
        <f>ROUND(IF(AQ151="1",BH151,0),2)</f>
        <v>0</v>
      </c>
      <c r="AC151" s="24">
        <f>ROUND(IF(AQ151="1",BI151,0),2)</f>
        <v>0</v>
      </c>
      <c r="AD151" s="24">
        <f>ROUND(IF(AQ151="7",BH151,0),2)</f>
        <v>0</v>
      </c>
      <c r="AE151" s="24">
        <f>ROUND(IF(AQ151="7",BI151,0),2)</f>
        <v>0</v>
      </c>
      <c r="AF151" s="24">
        <f>ROUND(IF(AQ151="2",BH151,0),2)</f>
        <v>0</v>
      </c>
      <c r="AG151" s="24">
        <f>ROUND(IF(AQ151="2",BI151,0),2)</f>
        <v>0</v>
      </c>
      <c r="AH151" s="24">
        <f>ROUND(IF(AQ151="0",BJ151,0),2)</f>
        <v>0</v>
      </c>
      <c r="AI151" s="10" t="s">
        <v>48</v>
      </c>
      <c r="AJ151" s="24">
        <f>IF(AN151=0,J151,0)</f>
        <v>0</v>
      </c>
      <c r="AK151" s="24">
        <f>IF(AN151=12,J151,0)</f>
        <v>0</v>
      </c>
      <c r="AL151" s="24">
        <f>IF(AN151=21,J151,0)</f>
        <v>0</v>
      </c>
      <c r="AN151" s="24">
        <v>21</v>
      </c>
      <c r="AO151" s="24">
        <f>G151*0.170741119</f>
        <v>0</v>
      </c>
      <c r="AP151" s="24">
        <f>G151*(1-0.170741119)</f>
        <v>0</v>
      </c>
      <c r="AQ151" s="26" t="s">
        <v>90</v>
      </c>
      <c r="AV151" s="24">
        <f>ROUND(AW151+AX151,2)</f>
        <v>0</v>
      </c>
      <c r="AW151" s="24">
        <f>ROUND(F151*AO151,2)</f>
        <v>0</v>
      </c>
      <c r="AX151" s="24">
        <f>ROUND(F151*AP151,2)</f>
        <v>0</v>
      </c>
      <c r="AY151" s="26" t="s">
        <v>336</v>
      </c>
      <c r="AZ151" s="26" t="s">
        <v>336</v>
      </c>
      <c r="BA151" s="10" t="s">
        <v>57</v>
      </c>
      <c r="BC151" s="24">
        <f>AW151+AX151</f>
        <v>0</v>
      </c>
      <c r="BD151" s="24">
        <f>G151/(100-BE151)*100</f>
        <v>0</v>
      </c>
      <c r="BE151" s="24">
        <v>0</v>
      </c>
      <c r="BF151" s="24">
        <f>151</f>
        <v>151</v>
      </c>
      <c r="BH151" s="24">
        <f>F151*AO151</f>
        <v>0</v>
      </c>
      <c r="BI151" s="24">
        <f>F151*AP151</f>
        <v>0</v>
      </c>
      <c r="BJ151" s="24">
        <f>F151*G151</f>
        <v>0</v>
      </c>
      <c r="BK151" s="26" t="s">
        <v>58</v>
      </c>
      <c r="BL151" s="24">
        <v>776</v>
      </c>
      <c r="BW151" s="24">
        <v>21</v>
      </c>
      <c r="BX151" s="4" t="s">
        <v>349</v>
      </c>
    </row>
    <row r="152" spans="1:76" x14ac:dyDescent="0.25">
      <c r="A152" s="27"/>
      <c r="C152" s="28" t="s">
        <v>350</v>
      </c>
      <c r="D152" s="28" t="s">
        <v>351</v>
      </c>
      <c r="F152" s="29">
        <v>74.88</v>
      </c>
      <c r="K152" s="30"/>
    </row>
    <row r="153" spans="1:76" x14ac:dyDescent="0.25">
      <c r="A153" s="2" t="s">
        <v>214</v>
      </c>
      <c r="B153" s="3" t="s">
        <v>352</v>
      </c>
      <c r="C153" s="109" t="s">
        <v>353</v>
      </c>
      <c r="D153" s="106"/>
      <c r="E153" s="3" t="s">
        <v>84</v>
      </c>
      <c r="F153" s="24">
        <v>82.37</v>
      </c>
      <c r="G153" s="24">
        <v>0</v>
      </c>
      <c r="H153" s="24">
        <f>ROUND(F153*AO153,2)</f>
        <v>0</v>
      </c>
      <c r="I153" s="24">
        <f>ROUND(F153*AP153,2)</f>
        <v>0</v>
      </c>
      <c r="J153" s="24">
        <f>ROUND(F153*G153,2)</f>
        <v>0</v>
      </c>
      <c r="K153" s="25" t="s">
        <v>55</v>
      </c>
      <c r="Z153" s="24">
        <f>ROUND(IF(AQ153="5",BJ153,0),2)</f>
        <v>0</v>
      </c>
      <c r="AB153" s="24">
        <f>ROUND(IF(AQ153="1",BH153,0),2)</f>
        <v>0</v>
      </c>
      <c r="AC153" s="24">
        <f>ROUND(IF(AQ153="1",BI153,0),2)</f>
        <v>0</v>
      </c>
      <c r="AD153" s="24">
        <f>ROUND(IF(AQ153="7",BH153,0),2)</f>
        <v>0</v>
      </c>
      <c r="AE153" s="24">
        <f>ROUND(IF(AQ153="7",BI153,0),2)</f>
        <v>0</v>
      </c>
      <c r="AF153" s="24">
        <f>ROUND(IF(AQ153="2",BH153,0),2)</f>
        <v>0</v>
      </c>
      <c r="AG153" s="24">
        <f>ROUND(IF(AQ153="2",BI153,0),2)</f>
        <v>0</v>
      </c>
      <c r="AH153" s="24">
        <f>ROUND(IF(AQ153="0",BJ153,0),2)</f>
        <v>0</v>
      </c>
      <c r="AI153" s="10" t="s">
        <v>48</v>
      </c>
      <c r="AJ153" s="24">
        <f>IF(AN153=0,J153,0)</f>
        <v>0</v>
      </c>
      <c r="AK153" s="24">
        <f>IF(AN153=12,J153,0)</f>
        <v>0</v>
      </c>
      <c r="AL153" s="24">
        <f>IF(AN153=21,J153,0)</f>
        <v>0</v>
      </c>
      <c r="AN153" s="24">
        <v>21</v>
      </c>
      <c r="AO153" s="24">
        <f>G153*1</f>
        <v>0</v>
      </c>
      <c r="AP153" s="24">
        <f>G153*(1-1)</f>
        <v>0</v>
      </c>
      <c r="AQ153" s="26" t="s">
        <v>90</v>
      </c>
      <c r="AV153" s="24">
        <f>ROUND(AW153+AX153,2)</f>
        <v>0</v>
      </c>
      <c r="AW153" s="24">
        <f>ROUND(F153*AO153,2)</f>
        <v>0</v>
      </c>
      <c r="AX153" s="24">
        <f>ROUND(F153*AP153,2)</f>
        <v>0</v>
      </c>
      <c r="AY153" s="26" t="s">
        <v>336</v>
      </c>
      <c r="AZ153" s="26" t="s">
        <v>336</v>
      </c>
      <c r="BA153" s="10" t="s">
        <v>57</v>
      </c>
      <c r="BC153" s="24">
        <f>AW153+AX153</f>
        <v>0</v>
      </c>
      <c r="BD153" s="24">
        <f>G153/(100-BE153)*100</f>
        <v>0</v>
      </c>
      <c r="BE153" s="24">
        <v>0</v>
      </c>
      <c r="BF153" s="24">
        <f>153</f>
        <v>153</v>
      </c>
      <c r="BH153" s="24">
        <f>F153*AO153</f>
        <v>0</v>
      </c>
      <c r="BI153" s="24">
        <f>F153*AP153</f>
        <v>0</v>
      </c>
      <c r="BJ153" s="24">
        <f>F153*G153</f>
        <v>0</v>
      </c>
      <c r="BK153" s="26" t="s">
        <v>224</v>
      </c>
      <c r="BL153" s="24">
        <v>776</v>
      </c>
      <c r="BW153" s="24">
        <v>21</v>
      </c>
      <c r="BX153" s="4" t="s">
        <v>353</v>
      </c>
    </row>
    <row r="154" spans="1:76" x14ac:dyDescent="0.25">
      <c r="A154" s="27"/>
      <c r="C154" s="28" t="s">
        <v>354</v>
      </c>
      <c r="D154" s="28" t="s">
        <v>48</v>
      </c>
      <c r="F154" s="29">
        <v>74.88</v>
      </c>
      <c r="K154" s="30"/>
    </row>
    <row r="155" spans="1:76" x14ac:dyDescent="0.25">
      <c r="A155" s="27"/>
      <c r="C155" s="28" t="s">
        <v>355</v>
      </c>
      <c r="D155" s="28" t="s">
        <v>48</v>
      </c>
      <c r="F155" s="29">
        <v>7.49</v>
      </c>
      <c r="K155" s="30"/>
    </row>
    <row r="156" spans="1:76" x14ac:dyDescent="0.25">
      <c r="A156" s="2" t="s">
        <v>356</v>
      </c>
      <c r="B156" s="3" t="s">
        <v>357</v>
      </c>
      <c r="C156" s="109" t="s">
        <v>358</v>
      </c>
      <c r="D156" s="106"/>
      <c r="E156" s="3" t="s">
        <v>190</v>
      </c>
      <c r="F156" s="24">
        <v>33.75</v>
      </c>
      <c r="G156" s="24">
        <v>0</v>
      </c>
      <c r="H156" s="24">
        <f>ROUND(F156*AO156,2)</f>
        <v>0</v>
      </c>
      <c r="I156" s="24">
        <f>ROUND(F156*AP156,2)</f>
        <v>0</v>
      </c>
      <c r="J156" s="24">
        <f>ROUND(F156*G156,2)</f>
        <v>0</v>
      </c>
      <c r="K156" s="25" t="s">
        <v>55</v>
      </c>
      <c r="Z156" s="24">
        <f>ROUND(IF(AQ156="5",BJ156,0),2)</f>
        <v>0</v>
      </c>
      <c r="AB156" s="24">
        <f>ROUND(IF(AQ156="1",BH156,0),2)</f>
        <v>0</v>
      </c>
      <c r="AC156" s="24">
        <f>ROUND(IF(AQ156="1",BI156,0),2)</f>
        <v>0</v>
      </c>
      <c r="AD156" s="24">
        <f>ROUND(IF(AQ156="7",BH156,0),2)</f>
        <v>0</v>
      </c>
      <c r="AE156" s="24">
        <f>ROUND(IF(AQ156="7",BI156,0),2)</f>
        <v>0</v>
      </c>
      <c r="AF156" s="24">
        <f>ROUND(IF(AQ156="2",BH156,0),2)</f>
        <v>0</v>
      </c>
      <c r="AG156" s="24">
        <f>ROUND(IF(AQ156="2",BI156,0),2)</f>
        <v>0</v>
      </c>
      <c r="AH156" s="24">
        <f>ROUND(IF(AQ156="0",BJ156,0),2)</f>
        <v>0</v>
      </c>
      <c r="AI156" s="10" t="s">
        <v>48</v>
      </c>
      <c r="AJ156" s="24">
        <f>IF(AN156=0,J156,0)</f>
        <v>0</v>
      </c>
      <c r="AK156" s="24">
        <f>IF(AN156=12,J156,0)</f>
        <v>0</v>
      </c>
      <c r="AL156" s="24">
        <f>IF(AN156=21,J156,0)</f>
        <v>0</v>
      </c>
      <c r="AN156" s="24">
        <v>21</v>
      </c>
      <c r="AO156" s="24">
        <f>G156*0.223129168</f>
        <v>0</v>
      </c>
      <c r="AP156" s="24">
        <f>G156*(1-0.223129168)</f>
        <v>0</v>
      </c>
      <c r="AQ156" s="26" t="s">
        <v>90</v>
      </c>
      <c r="AV156" s="24">
        <f>ROUND(AW156+AX156,2)</f>
        <v>0</v>
      </c>
      <c r="AW156" s="24">
        <f>ROUND(F156*AO156,2)</f>
        <v>0</v>
      </c>
      <c r="AX156" s="24">
        <f>ROUND(F156*AP156,2)</f>
        <v>0</v>
      </c>
      <c r="AY156" s="26" t="s">
        <v>336</v>
      </c>
      <c r="AZ156" s="26" t="s">
        <v>336</v>
      </c>
      <c r="BA156" s="10" t="s">
        <v>57</v>
      </c>
      <c r="BC156" s="24">
        <f>AW156+AX156</f>
        <v>0</v>
      </c>
      <c r="BD156" s="24">
        <f>G156/(100-BE156)*100</f>
        <v>0</v>
      </c>
      <c r="BE156" s="24">
        <v>0</v>
      </c>
      <c r="BF156" s="24">
        <f>156</f>
        <v>156</v>
      </c>
      <c r="BH156" s="24">
        <f>F156*AO156</f>
        <v>0</v>
      </c>
      <c r="BI156" s="24">
        <f>F156*AP156</f>
        <v>0</v>
      </c>
      <c r="BJ156" s="24">
        <f>F156*G156</f>
        <v>0</v>
      </c>
      <c r="BK156" s="26" t="s">
        <v>58</v>
      </c>
      <c r="BL156" s="24">
        <v>776</v>
      </c>
      <c r="BW156" s="24">
        <v>21</v>
      </c>
      <c r="BX156" s="4" t="s">
        <v>358</v>
      </c>
    </row>
    <row r="157" spans="1:76" x14ac:dyDescent="0.25">
      <c r="A157" s="27"/>
      <c r="C157" s="28" t="s">
        <v>359</v>
      </c>
      <c r="D157" s="28" t="s">
        <v>48</v>
      </c>
      <c r="F157" s="29">
        <v>33.75</v>
      </c>
      <c r="K157" s="30"/>
    </row>
    <row r="158" spans="1:76" x14ac:dyDescent="0.25">
      <c r="A158" s="2" t="s">
        <v>360</v>
      </c>
      <c r="B158" s="3" t="s">
        <v>361</v>
      </c>
      <c r="C158" s="109" t="s">
        <v>362</v>
      </c>
      <c r="D158" s="106"/>
      <c r="E158" s="3" t="s">
        <v>104</v>
      </c>
      <c r="F158" s="24">
        <v>0.42</v>
      </c>
      <c r="G158" s="24">
        <v>0</v>
      </c>
      <c r="H158" s="24">
        <f>ROUND(F158*AO158,2)</f>
        <v>0</v>
      </c>
      <c r="I158" s="24">
        <f>ROUND(F158*AP158,2)</f>
        <v>0</v>
      </c>
      <c r="J158" s="24">
        <f>ROUND(F158*G158,2)</f>
        <v>0</v>
      </c>
      <c r="K158" s="25" t="s">
        <v>55</v>
      </c>
      <c r="Z158" s="24">
        <f>ROUND(IF(AQ158="5",BJ158,0),2)</f>
        <v>0</v>
      </c>
      <c r="AB158" s="24">
        <f>ROUND(IF(AQ158="1",BH158,0),2)</f>
        <v>0</v>
      </c>
      <c r="AC158" s="24">
        <f>ROUND(IF(AQ158="1",BI158,0),2)</f>
        <v>0</v>
      </c>
      <c r="AD158" s="24">
        <f>ROUND(IF(AQ158="7",BH158,0),2)</f>
        <v>0</v>
      </c>
      <c r="AE158" s="24">
        <f>ROUND(IF(AQ158="7",BI158,0),2)</f>
        <v>0</v>
      </c>
      <c r="AF158" s="24">
        <f>ROUND(IF(AQ158="2",BH158,0),2)</f>
        <v>0</v>
      </c>
      <c r="AG158" s="24">
        <f>ROUND(IF(AQ158="2",BI158,0),2)</f>
        <v>0</v>
      </c>
      <c r="AH158" s="24">
        <f>ROUND(IF(AQ158="0",BJ158,0),2)</f>
        <v>0</v>
      </c>
      <c r="AI158" s="10" t="s">
        <v>48</v>
      </c>
      <c r="AJ158" s="24">
        <f>IF(AN158=0,J158,0)</f>
        <v>0</v>
      </c>
      <c r="AK158" s="24">
        <f>IF(AN158=12,J158,0)</f>
        <v>0</v>
      </c>
      <c r="AL158" s="24">
        <f>IF(AN158=21,J158,0)</f>
        <v>0</v>
      </c>
      <c r="AN158" s="24">
        <v>21</v>
      </c>
      <c r="AO158" s="24">
        <f>G158*0</f>
        <v>0</v>
      </c>
      <c r="AP158" s="24">
        <f>G158*(1-0)</f>
        <v>0</v>
      </c>
      <c r="AQ158" s="26" t="s">
        <v>75</v>
      </c>
      <c r="AV158" s="24">
        <f>ROUND(AW158+AX158,2)</f>
        <v>0</v>
      </c>
      <c r="AW158" s="24">
        <f>ROUND(F158*AO158,2)</f>
        <v>0</v>
      </c>
      <c r="AX158" s="24">
        <f>ROUND(F158*AP158,2)</f>
        <v>0</v>
      </c>
      <c r="AY158" s="26" t="s">
        <v>336</v>
      </c>
      <c r="AZ158" s="26" t="s">
        <v>336</v>
      </c>
      <c r="BA158" s="10" t="s">
        <v>57</v>
      </c>
      <c r="BC158" s="24">
        <f>AW158+AX158</f>
        <v>0</v>
      </c>
      <c r="BD158" s="24">
        <f>G158/(100-BE158)*100</f>
        <v>0</v>
      </c>
      <c r="BE158" s="24">
        <v>0</v>
      </c>
      <c r="BF158" s="24">
        <f>158</f>
        <v>158</v>
      </c>
      <c r="BH158" s="24">
        <f>F158*AO158</f>
        <v>0</v>
      </c>
      <c r="BI158" s="24">
        <f>F158*AP158</f>
        <v>0</v>
      </c>
      <c r="BJ158" s="24">
        <f>F158*G158</f>
        <v>0</v>
      </c>
      <c r="BK158" s="26" t="s">
        <v>58</v>
      </c>
      <c r="BL158" s="24">
        <v>776</v>
      </c>
      <c r="BW158" s="24">
        <v>21</v>
      </c>
      <c r="BX158" s="4" t="s">
        <v>362</v>
      </c>
    </row>
    <row r="159" spans="1:76" x14ac:dyDescent="0.25">
      <c r="A159" s="31" t="s">
        <v>48</v>
      </c>
      <c r="B159" s="32" t="s">
        <v>363</v>
      </c>
      <c r="C159" s="181" t="s">
        <v>364</v>
      </c>
      <c r="D159" s="182"/>
      <c r="E159" s="33" t="s">
        <v>4</v>
      </c>
      <c r="F159" s="33" t="s">
        <v>4</v>
      </c>
      <c r="G159" s="33" t="s">
        <v>4</v>
      </c>
      <c r="H159" s="1">
        <f>ROUND(SUM(H160:H169),2)</f>
        <v>0</v>
      </c>
      <c r="I159" s="1">
        <f>ROUND(SUM(I160:I169),2)</f>
        <v>0</v>
      </c>
      <c r="J159" s="1">
        <f>ROUND(SUM(J160:J169),2)</f>
        <v>0</v>
      </c>
      <c r="K159" s="34" t="s">
        <v>48</v>
      </c>
      <c r="AI159" s="10" t="s">
        <v>48</v>
      </c>
      <c r="AS159" s="1">
        <f>SUM(AJ160:AJ169)</f>
        <v>0</v>
      </c>
      <c r="AT159" s="1">
        <f>SUM(AK160:AK169)</f>
        <v>0</v>
      </c>
      <c r="AU159" s="1">
        <f>SUM(AL160:AL169)</f>
        <v>0</v>
      </c>
    </row>
    <row r="160" spans="1:76" x14ac:dyDescent="0.25">
      <c r="A160" s="2" t="s">
        <v>365</v>
      </c>
      <c r="B160" s="3" t="s">
        <v>366</v>
      </c>
      <c r="C160" s="109" t="s">
        <v>367</v>
      </c>
      <c r="D160" s="106"/>
      <c r="E160" s="3" t="s">
        <v>84</v>
      </c>
      <c r="F160" s="24">
        <v>74.88</v>
      </c>
      <c r="G160" s="24">
        <v>0</v>
      </c>
      <c r="H160" s="24">
        <f>ROUND(F160*AO160,2)</f>
        <v>0</v>
      </c>
      <c r="I160" s="24">
        <f>ROUND(F160*AP160,2)</f>
        <v>0</v>
      </c>
      <c r="J160" s="24">
        <f>ROUND(F160*G160,2)</f>
        <v>0</v>
      </c>
      <c r="K160" s="25" t="s">
        <v>55</v>
      </c>
      <c r="Z160" s="24">
        <f>ROUND(IF(AQ160="5",BJ160,0),2)</f>
        <v>0</v>
      </c>
      <c r="AB160" s="24">
        <f>ROUND(IF(AQ160="1",BH160,0),2)</f>
        <v>0</v>
      </c>
      <c r="AC160" s="24">
        <f>ROUND(IF(AQ160="1",BI160,0),2)</f>
        <v>0</v>
      </c>
      <c r="AD160" s="24">
        <f>ROUND(IF(AQ160="7",BH160,0),2)</f>
        <v>0</v>
      </c>
      <c r="AE160" s="24">
        <f>ROUND(IF(AQ160="7",BI160,0),2)</f>
        <v>0</v>
      </c>
      <c r="AF160" s="24">
        <f>ROUND(IF(AQ160="2",BH160,0),2)</f>
        <v>0</v>
      </c>
      <c r="AG160" s="24">
        <f>ROUND(IF(AQ160="2",BI160,0),2)</f>
        <v>0</v>
      </c>
      <c r="AH160" s="24">
        <f>ROUND(IF(AQ160="0",BJ160,0),2)</f>
        <v>0</v>
      </c>
      <c r="AI160" s="10" t="s">
        <v>48</v>
      </c>
      <c r="AJ160" s="24">
        <f>IF(AN160=0,J160,0)</f>
        <v>0</v>
      </c>
      <c r="AK160" s="24">
        <f>IF(AN160=12,J160,0)</f>
        <v>0</v>
      </c>
      <c r="AL160" s="24">
        <f>IF(AN160=21,J160,0)</f>
        <v>0</v>
      </c>
      <c r="AN160" s="24">
        <v>21</v>
      </c>
      <c r="AO160" s="24">
        <f>G160*0</f>
        <v>0</v>
      </c>
      <c r="AP160" s="24">
        <f>G160*(1-0)</f>
        <v>0</v>
      </c>
      <c r="AQ160" s="26" t="s">
        <v>90</v>
      </c>
      <c r="AV160" s="24">
        <f>ROUND(AW160+AX160,2)</f>
        <v>0</v>
      </c>
      <c r="AW160" s="24">
        <f>ROUND(F160*AO160,2)</f>
        <v>0</v>
      </c>
      <c r="AX160" s="24">
        <f>ROUND(F160*AP160,2)</f>
        <v>0</v>
      </c>
      <c r="AY160" s="26" t="s">
        <v>368</v>
      </c>
      <c r="AZ160" s="26" t="s">
        <v>368</v>
      </c>
      <c r="BA160" s="10" t="s">
        <v>57</v>
      </c>
      <c r="BC160" s="24">
        <f>AW160+AX160</f>
        <v>0</v>
      </c>
      <c r="BD160" s="24">
        <f>G160/(100-BE160)*100</f>
        <v>0</v>
      </c>
      <c r="BE160" s="24">
        <v>0</v>
      </c>
      <c r="BF160" s="24">
        <f>160</f>
        <v>160</v>
      </c>
      <c r="BH160" s="24">
        <f>F160*AO160</f>
        <v>0</v>
      </c>
      <c r="BI160" s="24">
        <f>F160*AP160</f>
        <v>0</v>
      </c>
      <c r="BJ160" s="24">
        <f>F160*G160</f>
        <v>0</v>
      </c>
      <c r="BK160" s="26" t="s">
        <v>58</v>
      </c>
      <c r="BL160" s="24">
        <v>784</v>
      </c>
      <c r="BW160" s="24">
        <v>21</v>
      </c>
      <c r="BX160" s="4" t="s">
        <v>367</v>
      </c>
    </row>
    <row r="161" spans="1:76" x14ac:dyDescent="0.25">
      <c r="A161" s="27"/>
      <c r="C161" s="28" t="s">
        <v>350</v>
      </c>
      <c r="D161" s="28" t="s">
        <v>351</v>
      </c>
      <c r="F161" s="29">
        <v>74.88</v>
      </c>
      <c r="K161" s="30"/>
    </row>
    <row r="162" spans="1:76" x14ac:dyDescent="0.25">
      <c r="A162" s="2" t="s">
        <v>369</v>
      </c>
      <c r="B162" s="3" t="s">
        <v>370</v>
      </c>
      <c r="C162" s="109" t="s">
        <v>371</v>
      </c>
      <c r="D162" s="106"/>
      <c r="E162" s="3" t="s">
        <v>84</v>
      </c>
      <c r="F162" s="24">
        <v>176.92</v>
      </c>
      <c r="G162" s="24">
        <v>0</v>
      </c>
      <c r="H162" s="24">
        <f>ROUND(F162*AO162,2)</f>
        <v>0</v>
      </c>
      <c r="I162" s="24">
        <f>ROUND(F162*AP162,2)</f>
        <v>0</v>
      </c>
      <c r="J162" s="24">
        <f>ROUND(F162*G162,2)</f>
        <v>0</v>
      </c>
      <c r="K162" s="25" t="s">
        <v>55</v>
      </c>
      <c r="Z162" s="24">
        <f>ROUND(IF(AQ162="5",BJ162,0),2)</f>
        <v>0</v>
      </c>
      <c r="AB162" s="24">
        <f>ROUND(IF(AQ162="1",BH162,0),2)</f>
        <v>0</v>
      </c>
      <c r="AC162" s="24">
        <f>ROUND(IF(AQ162="1",BI162,0),2)</f>
        <v>0</v>
      </c>
      <c r="AD162" s="24">
        <f>ROUND(IF(AQ162="7",BH162,0),2)</f>
        <v>0</v>
      </c>
      <c r="AE162" s="24">
        <f>ROUND(IF(AQ162="7",BI162,0),2)</f>
        <v>0</v>
      </c>
      <c r="AF162" s="24">
        <f>ROUND(IF(AQ162="2",BH162,0),2)</f>
        <v>0</v>
      </c>
      <c r="AG162" s="24">
        <f>ROUND(IF(AQ162="2",BI162,0),2)</f>
        <v>0</v>
      </c>
      <c r="AH162" s="24">
        <f>ROUND(IF(AQ162="0",BJ162,0),2)</f>
        <v>0</v>
      </c>
      <c r="AI162" s="10" t="s">
        <v>48</v>
      </c>
      <c r="AJ162" s="24">
        <f>IF(AN162=0,J162,0)</f>
        <v>0</v>
      </c>
      <c r="AK162" s="24">
        <f>IF(AN162=12,J162,0)</f>
        <v>0</v>
      </c>
      <c r="AL162" s="24">
        <f>IF(AN162=21,J162,0)</f>
        <v>0</v>
      </c>
      <c r="AN162" s="24">
        <v>21</v>
      </c>
      <c r="AO162" s="24">
        <f>G162*0.261269554</f>
        <v>0</v>
      </c>
      <c r="AP162" s="24">
        <f>G162*(1-0.261269554)</f>
        <v>0</v>
      </c>
      <c r="AQ162" s="26" t="s">
        <v>90</v>
      </c>
      <c r="AV162" s="24">
        <f>ROUND(AW162+AX162,2)</f>
        <v>0</v>
      </c>
      <c r="AW162" s="24">
        <f>ROUND(F162*AO162,2)</f>
        <v>0</v>
      </c>
      <c r="AX162" s="24">
        <f>ROUND(F162*AP162,2)</f>
        <v>0</v>
      </c>
      <c r="AY162" s="26" t="s">
        <v>368</v>
      </c>
      <c r="AZ162" s="26" t="s">
        <v>368</v>
      </c>
      <c r="BA162" s="10" t="s">
        <v>57</v>
      </c>
      <c r="BC162" s="24">
        <f>AW162+AX162</f>
        <v>0</v>
      </c>
      <c r="BD162" s="24">
        <f>G162/(100-BE162)*100</f>
        <v>0</v>
      </c>
      <c r="BE162" s="24">
        <v>0</v>
      </c>
      <c r="BF162" s="24">
        <f>162</f>
        <v>162</v>
      </c>
      <c r="BH162" s="24">
        <f>F162*AO162</f>
        <v>0</v>
      </c>
      <c r="BI162" s="24">
        <f>F162*AP162</f>
        <v>0</v>
      </c>
      <c r="BJ162" s="24">
        <f>F162*G162</f>
        <v>0</v>
      </c>
      <c r="BK162" s="26" t="s">
        <v>58</v>
      </c>
      <c r="BL162" s="24">
        <v>784</v>
      </c>
      <c r="BW162" s="24">
        <v>21</v>
      </c>
      <c r="BX162" s="4" t="s">
        <v>371</v>
      </c>
    </row>
    <row r="163" spans="1:76" x14ac:dyDescent="0.25">
      <c r="A163" s="27"/>
      <c r="C163" s="28" t="s">
        <v>372</v>
      </c>
      <c r="D163" s="28" t="s">
        <v>373</v>
      </c>
      <c r="F163" s="29">
        <v>97.61</v>
      </c>
      <c r="K163" s="30"/>
    </row>
    <row r="164" spans="1:76" x14ac:dyDescent="0.25">
      <c r="A164" s="27"/>
      <c r="C164" s="28" t="s">
        <v>115</v>
      </c>
      <c r="D164" s="28" t="s">
        <v>374</v>
      </c>
      <c r="F164" s="29">
        <v>-1.53</v>
      </c>
      <c r="K164" s="30"/>
    </row>
    <row r="165" spans="1:76" x14ac:dyDescent="0.25">
      <c r="A165" s="27"/>
      <c r="C165" s="28" t="s">
        <v>375</v>
      </c>
      <c r="D165" s="28" t="s">
        <v>123</v>
      </c>
      <c r="F165" s="29">
        <v>11.22</v>
      </c>
      <c r="K165" s="30"/>
    </row>
    <row r="166" spans="1:76" x14ac:dyDescent="0.25">
      <c r="A166" s="27"/>
      <c r="C166" s="28" t="s">
        <v>376</v>
      </c>
      <c r="D166" s="28" t="s">
        <v>201</v>
      </c>
      <c r="F166" s="29">
        <v>57.51</v>
      </c>
      <c r="K166" s="30"/>
    </row>
    <row r="167" spans="1:76" x14ac:dyDescent="0.25">
      <c r="A167" s="27"/>
      <c r="C167" s="28" t="s">
        <v>377</v>
      </c>
      <c r="D167" s="28" t="s">
        <v>48</v>
      </c>
      <c r="F167" s="29">
        <v>12.11</v>
      </c>
      <c r="K167" s="30"/>
    </row>
    <row r="168" spans="1:76" x14ac:dyDescent="0.25">
      <c r="A168" s="2" t="s">
        <v>378</v>
      </c>
      <c r="B168" s="3" t="s">
        <v>379</v>
      </c>
      <c r="C168" s="109" t="s">
        <v>380</v>
      </c>
      <c r="D168" s="106"/>
      <c r="E168" s="3" t="s">
        <v>84</v>
      </c>
      <c r="F168" s="24">
        <v>176.92</v>
      </c>
      <c r="G168" s="24">
        <v>0</v>
      </c>
      <c r="H168" s="24">
        <f>ROUND(F168*AO168,2)</f>
        <v>0</v>
      </c>
      <c r="I168" s="24">
        <f>ROUND(F168*AP168,2)</f>
        <v>0</v>
      </c>
      <c r="J168" s="24">
        <f>ROUND(F168*G168,2)</f>
        <v>0</v>
      </c>
      <c r="K168" s="25" t="s">
        <v>55</v>
      </c>
      <c r="Z168" s="24">
        <f>ROUND(IF(AQ168="5",BJ168,0),2)</f>
        <v>0</v>
      </c>
      <c r="AB168" s="24">
        <f>ROUND(IF(AQ168="1",BH168,0),2)</f>
        <v>0</v>
      </c>
      <c r="AC168" s="24">
        <f>ROUND(IF(AQ168="1",BI168,0),2)</f>
        <v>0</v>
      </c>
      <c r="AD168" s="24">
        <f>ROUND(IF(AQ168="7",BH168,0),2)</f>
        <v>0</v>
      </c>
      <c r="AE168" s="24">
        <f>ROUND(IF(AQ168="7",BI168,0),2)</f>
        <v>0</v>
      </c>
      <c r="AF168" s="24">
        <f>ROUND(IF(AQ168="2",BH168,0),2)</f>
        <v>0</v>
      </c>
      <c r="AG168" s="24">
        <f>ROUND(IF(AQ168="2",BI168,0),2)</f>
        <v>0</v>
      </c>
      <c r="AH168" s="24">
        <f>ROUND(IF(AQ168="0",BJ168,0),2)</f>
        <v>0</v>
      </c>
      <c r="AI168" s="10" t="s">
        <v>48</v>
      </c>
      <c r="AJ168" s="24">
        <f>IF(AN168=0,J168,0)</f>
        <v>0</v>
      </c>
      <c r="AK168" s="24">
        <f>IF(AN168=12,J168,0)</f>
        <v>0</v>
      </c>
      <c r="AL168" s="24">
        <f>IF(AN168=21,J168,0)</f>
        <v>0</v>
      </c>
      <c r="AN168" s="24">
        <v>21</v>
      </c>
      <c r="AO168" s="24">
        <f>G168*0.207809333</f>
        <v>0</v>
      </c>
      <c r="AP168" s="24">
        <f>G168*(1-0.207809333)</f>
        <v>0</v>
      </c>
      <c r="AQ168" s="26" t="s">
        <v>90</v>
      </c>
      <c r="AV168" s="24">
        <f>ROUND(AW168+AX168,2)</f>
        <v>0</v>
      </c>
      <c r="AW168" s="24">
        <f>ROUND(F168*AO168,2)</f>
        <v>0</v>
      </c>
      <c r="AX168" s="24">
        <f>ROUND(F168*AP168,2)</f>
        <v>0</v>
      </c>
      <c r="AY168" s="26" t="s">
        <v>368</v>
      </c>
      <c r="AZ168" s="26" t="s">
        <v>368</v>
      </c>
      <c r="BA168" s="10" t="s">
        <v>57</v>
      </c>
      <c r="BC168" s="24">
        <f>AW168+AX168</f>
        <v>0</v>
      </c>
      <c r="BD168" s="24">
        <f>G168/(100-BE168)*100</f>
        <v>0</v>
      </c>
      <c r="BE168" s="24">
        <v>0</v>
      </c>
      <c r="BF168" s="24">
        <f>168</f>
        <v>168</v>
      </c>
      <c r="BH168" s="24">
        <f>F168*AO168</f>
        <v>0</v>
      </c>
      <c r="BI168" s="24">
        <f>F168*AP168</f>
        <v>0</v>
      </c>
      <c r="BJ168" s="24">
        <f>F168*G168</f>
        <v>0</v>
      </c>
      <c r="BK168" s="26" t="s">
        <v>58</v>
      </c>
      <c r="BL168" s="24">
        <v>784</v>
      </c>
      <c r="BW168" s="24">
        <v>21</v>
      </c>
      <c r="BX168" s="4" t="s">
        <v>380</v>
      </c>
    </row>
    <row r="169" spans="1:76" x14ac:dyDescent="0.25">
      <c r="A169" s="2" t="s">
        <v>381</v>
      </c>
      <c r="B169" s="3" t="s">
        <v>382</v>
      </c>
      <c r="C169" s="109" t="s">
        <v>383</v>
      </c>
      <c r="D169" s="106"/>
      <c r="E169" s="3" t="s">
        <v>190</v>
      </c>
      <c r="F169" s="24">
        <v>20.78</v>
      </c>
      <c r="G169" s="24">
        <v>0</v>
      </c>
      <c r="H169" s="24">
        <f>ROUND(F169*AO169,2)</f>
        <v>0</v>
      </c>
      <c r="I169" s="24">
        <f>ROUND(F169*AP169,2)</f>
        <v>0</v>
      </c>
      <c r="J169" s="24">
        <f>ROUND(F169*G169,2)</f>
        <v>0</v>
      </c>
      <c r="K169" s="25" t="s">
        <v>55</v>
      </c>
      <c r="Z169" s="24">
        <f>ROUND(IF(AQ169="5",BJ169,0),2)</f>
        <v>0</v>
      </c>
      <c r="AB169" s="24">
        <f>ROUND(IF(AQ169="1",BH169,0),2)</f>
        <v>0</v>
      </c>
      <c r="AC169" s="24">
        <f>ROUND(IF(AQ169="1",BI169,0),2)</f>
        <v>0</v>
      </c>
      <c r="AD169" s="24">
        <f>ROUND(IF(AQ169="7",BH169,0),2)</f>
        <v>0</v>
      </c>
      <c r="AE169" s="24">
        <f>ROUND(IF(AQ169="7",BI169,0),2)</f>
        <v>0</v>
      </c>
      <c r="AF169" s="24">
        <f>ROUND(IF(AQ169="2",BH169,0),2)</f>
        <v>0</v>
      </c>
      <c r="AG169" s="24">
        <f>ROUND(IF(AQ169="2",BI169,0),2)</f>
        <v>0</v>
      </c>
      <c r="AH169" s="24">
        <f>ROUND(IF(AQ169="0",BJ169,0),2)</f>
        <v>0</v>
      </c>
      <c r="AI169" s="10" t="s">
        <v>48</v>
      </c>
      <c r="AJ169" s="24">
        <f>IF(AN169=0,J169,0)</f>
        <v>0</v>
      </c>
      <c r="AK169" s="24">
        <f>IF(AN169=12,J169,0)</f>
        <v>0</v>
      </c>
      <c r="AL169" s="24">
        <f>IF(AN169=21,J169,0)</f>
        <v>0</v>
      </c>
      <c r="AN169" s="24">
        <v>21</v>
      </c>
      <c r="AO169" s="24">
        <f>G169*0.116034895</f>
        <v>0</v>
      </c>
      <c r="AP169" s="24">
        <f>G169*(1-0.116034895)</f>
        <v>0</v>
      </c>
      <c r="AQ169" s="26" t="s">
        <v>90</v>
      </c>
      <c r="AV169" s="24">
        <f>ROUND(AW169+AX169,2)</f>
        <v>0</v>
      </c>
      <c r="AW169" s="24">
        <f>ROUND(F169*AO169,2)</f>
        <v>0</v>
      </c>
      <c r="AX169" s="24">
        <f>ROUND(F169*AP169,2)</f>
        <v>0</v>
      </c>
      <c r="AY169" s="26" t="s">
        <v>368</v>
      </c>
      <c r="AZ169" s="26" t="s">
        <v>368</v>
      </c>
      <c r="BA169" s="10" t="s">
        <v>57</v>
      </c>
      <c r="BC169" s="24">
        <f>AW169+AX169</f>
        <v>0</v>
      </c>
      <c r="BD169" s="24">
        <f>G169/(100-BE169)*100</f>
        <v>0</v>
      </c>
      <c r="BE169" s="24">
        <v>0</v>
      </c>
      <c r="BF169" s="24">
        <f>169</f>
        <v>169</v>
      </c>
      <c r="BH169" s="24">
        <f>F169*AO169</f>
        <v>0</v>
      </c>
      <c r="BI169" s="24">
        <f>F169*AP169</f>
        <v>0</v>
      </c>
      <c r="BJ169" s="24">
        <f>F169*G169</f>
        <v>0</v>
      </c>
      <c r="BK169" s="26" t="s">
        <v>58</v>
      </c>
      <c r="BL169" s="24">
        <v>784</v>
      </c>
      <c r="BW169" s="24">
        <v>21</v>
      </c>
      <c r="BX169" s="4" t="s">
        <v>383</v>
      </c>
    </row>
    <row r="170" spans="1:76" x14ac:dyDescent="0.25">
      <c r="A170" s="27"/>
      <c r="C170" s="28" t="s">
        <v>384</v>
      </c>
      <c r="D170" s="28" t="s">
        <v>385</v>
      </c>
      <c r="F170" s="29">
        <v>20.78</v>
      </c>
      <c r="K170" s="30"/>
    </row>
    <row r="171" spans="1:76" x14ac:dyDescent="0.25">
      <c r="A171" s="31" t="s">
        <v>48</v>
      </c>
      <c r="B171" s="32" t="s">
        <v>386</v>
      </c>
      <c r="C171" s="181" t="s">
        <v>387</v>
      </c>
      <c r="D171" s="182"/>
      <c r="E171" s="33" t="s">
        <v>4</v>
      </c>
      <c r="F171" s="33" t="s">
        <v>4</v>
      </c>
      <c r="G171" s="33" t="s">
        <v>4</v>
      </c>
      <c r="H171" s="1">
        <f>ROUND(SUM(H172:H178),2)</f>
        <v>0</v>
      </c>
      <c r="I171" s="1">
        <f>ROUND(SUM(I172:I178),2)</f>
        <v>0</v>
      </c>
      <c r="J171" s="1">
        <f>ROUND(SUM(J172:J178),2)</f>
        <v>0</v>
      </c>
      <c r="K171" s="34" t="s">
        <v>48</v>
      </c>
      <c r="AI171" s="10" t="s">
        <v>48</v>
      </c>
      <c r="AS171" s="1">
        <f>SUM(AJ172:AJ178)</f>
        <v>0</v>
      </c>
      <c r="AT171" s="1">
        <f>SUM(AK172:AK178)</f>
        <v>0</v>
      </c>
      <c r="AU171" s="1">
        <f>SUM(AL172:AL178)</f>
        <v>0</v>
      </c>
    </row>
    <row r="172" spans="1:76" x14ac:dyDescent="0.25">
      <c r="A172" s="2" t="s">
        <v>388</v>
      </c>
      <c r="B172" s="3" t="s">
        <v>389</v>
      </c>
      <c r="C172" s="109" t="s">
        <v>390</v>
      </c>
      <c r="D172" s="106"/>
      <c r="E172" s="3" t="s">
        <v>391</v>
      </c>
      <c r="F172" s="24">
        <v>20</v>
      </c>
      <c r="G172" s="24">
        <v>0</v>
      </c>
      <c r="H172" s="24">
        <f>ROUND(F172*AO172,2)</f>
        <v>0</v>
      </c>
      <c r="I172" s="24">
        <f>ROUND(F172*AP172,2)</f>
        <v>0</v>
      </c>
      <c r="J172" s="24">
        <f>ROUND(F172*G172,2)</f>
        <v>0</v>
      </c>
      <c r="K172" s="25" t="s">
        <v>55</v>
      </c>
      <c r="Z172" s="24">
        <f>ROUND(IF(AQ172="5",BJ172,0),2)</f>
        <v>0</v>
      </c>
      <c r="AB172" s="24">
        <f>ROUND(IF(AQ172="1",BH172,0),2)</f>
        <v>0</v>
      </c>
      <c r="AC172" s="24">
        <f>ROUND(IF(AQ172="1",BI172,0),2)</f>
        <v>0</v>
      </c>
      <c r="AD172" s="24">
        <f>ROUND(IF(AQ172="7",BH172,0),2)</f>
        <v>0</v>
      </c>
      <c r="AE172" s="24">
        <f>ROUND(IF(AQ172="7",BI172,0),2)</f>
        <v>0</v>
      </c>
      <c r="AF172" s="24">
        <f>ROUND(IF(AQ172="2",BH172,0),2)</f>
        <v>0</v>
      </c>
      <c r="AG172" s="24">
        <f>ROUND(IF(AQ172="2",BI172,0),2)</f>
        <v>0</v>
      </c>
      <c r="AH172" s="24">
        <f>ROUND(IF(AQ172="0",BJ172,0),2)</f>
        <v>0</v>
      </c>
      <c r="AI172" s="10" t="s">
        <v>48</v>
      </c>
      <c r="AJ172" s="24">
        <f>IF(AN172=0,J172,0)</f>
        <v>0</v>
      </c>
      <c r="AK172" s="24">
        <f>IF(AN172=12,J172,0)</f>
        <v>0</v>
      </c>
      <c r="AL172" s="24">
        <f>IF(AN172=21,J172,0)</f>
        <v>0</v>
      </c>
      <c r="AN172" s="24">
        <v>21</v>
      </c>
      <c r="AO172" s="24">
        <f>G172*0</f>
        <v>0</v>
      </c>
      <c r="AP172" s="24">
        <f>G172*(1-0)</f>
        <v>0</v>
      </c>
      <c r="AQ172" s="26" t="s">
        <v>51</v>
      </c>
      <c r="AV172" s="24">
        <f>ROUND(AW172+AX172,2)</f>
        <v>0</v>
      </c>
      <c r="AW172" s="24">
        <f>ROUND(F172*AO172,2)</f>
        <v>0</v>
      </c>
      <c r="AX172" s="24">
        <f>ROUND(F172*AP172,2)</f>
        <v>0</v>
      </c>
      <c r="AY172" s="26" t="s">
        <v>392</v>
      </c>
      <c r="AZ172" s="26" t="s">
        <v>392</v>
      </c>
      <c r="BA172" s="10" t="s">
        <v>57</v>
      </c>
      <c r="BC172" s="24">
        <f>AW172+AX172</f>
        <v>0</v>
      </c>
      <c r="BD172" s="24">
        <f>G172/(100-BE172)*100</f>
        <v>0</v>
      </c>
      <c r="BE172" s="24">
        <v>0</v>
      </c>
      <c r="BF172" s="24">
        <f>172</f>
        <v>172</v>
      </c>
      <c r="BH172" s="24">
        <f>F172*AO172</f>
        <v>0</v>
      </c>
      <c r="BI172" s="24">
        <f>F172*AP172</f>
        <v>0</v>
      </c>
      <c r="BJ172" s="24">
        <f>F172*G172</f>
        <v>0</v>
      </c>
      <c r="BK172" s="26" t="s">
        <v>58</v>
      </c>
      <c r="BL172" s="24">
        <v>90</v>
      </c>
      <c r="BW172" s="24">
        <v>21</v>
      </c>
      <c r="BX172" s="4" t="s">
        <v>390</v>
      </c>
    </row>
    <row r="173" spans="1:76" x14ac:dyDescent="0.25">
      <c r="A173" s="27"/>
      <c r="C173" s="28" t="s">
        <v>154</v>
      </c>
      <c r="D173" s="28" t="s">
        <v>393</v>
      </c>
      <c r="F173" s="29">
        <v>20</v>
      </c>
      <c r="K173" s="30"/>
    </row>
    <row r="174" spans="1:76" x14ac:dyDescent="0.25">
      <c r="A174" s="2" t="s">
        <v>394</v>
      </c>
      <c r="B174" s="3" t="s">
        <v>395</v>
      </c>
      <c r="C174" s="109" t="s">
        <v>396</v>
      </c>
      <c r="D174" s="106"/>
      <c r="E174" s="3" t="s">
        <v>391</v>
      </c>
      <c r="F174" s="24">
        <v>25</v>
      </c>
      <c r="G174" s="24">
        <v>0</v>
      </c>
      <c r="H174" s="24">
        <f>ROUND(F174*AO174,2)</f>
        <v>0</v>
      </c>
      <c r="I174" s="24">
        <f>ROUND(F174*AP174,2)</f>
        <v>0</v>
      </c>
      <c r="J174" s="24">
        <f>ROUND(F174*G174,2)</f>
        <v>0</v>
      </c>
      <c r="K174" s="25" t="s">
        <v>55</v>
      </c>
      <c r="Z174" s="24">
        <f>ROUND(IF(AQ174="5",BJ174,0),2)</f>
        <v>0</v>
      </c>
      <c r="AB174" s="24">
        <f>ROUND(IF(AQ174="1",BH174,0),2)</f>
        <v>0</v>
      </c>
      <c r="AC174" s="24">
        <f>ROUND(IF(AQ174="1",BI174,0),2)</f>
        <v>0</v>
      </c>
      <c r="AD174" s="24">
        <f>ROUND(IF(AQ174="7",BH174,0),2)</f>
        <v>0</v>
      </c>
      <c r="AE174" s="24">
        <f>ROUND(IF(AQ174="7",BI174,0),2)</f>
        <v>0</v>
      </c>
      <c r="AF174" s="24">
        <f>ROUND(IF(AQ174="2",BH174,0),2)</f>
        <v>0</v>
      </c>
      <c r="AG174" s="24">
        <f>ROUND(IF(AQ174="2",BI174,0),2)</f>
        <v>0</v>
      </c>
      <c r="AH174" s="24">
        <f>ROUND(IF(AQ174="0",BJ174,0),2)</f>
        <v>0</v>
      </c>
      <c r="AI174" s="10" t="s">
        <v>48</v>
      </c>
      <c r="AJ174" s="24">
        <f>IF(AN174=0,J174,0)</f>
        <v>0</v>
      </c>
      <c r="AK174" s="24">
        <f>IF(AN174=12,J174,0)</f>
        <v>0</v>
      </c>
      <c r="AL174" s="24">
        <f>IF(AN174=21,J174,0)</f>
        <v>0</v>
      </c>
      <c r="AN174" s="24">
        <v>21</v>
      </c>
      <c r="AO174" s="24">
        <f>G174*0</f>
        <v>0</v>
      </c>
      <c r="AP174" s="24">
        <f>G174*(1-0)</f>
        <v>0</v>
      </c>
      <c r="AQ174" s="26" t="s">
        <v>51</v>
      </c>
      <c r="AV174" s="24">
        <f>ROUND(AW174+AX174,2)</f>
        <v>0</v>
      </c>
      <c r="AW174" s="24">
        <f>ROUND(F174*AO174,2)</f>
        <v>0</v>
      </c>
      <c r="AX174" s="24">
        <f>ROUND(F174*AP174,2)</f>
        <v>0</v>
      </c>
      <c r="AY174" s="26" t="s">
        <v>392</v>
      </c>
      <c r="AZ174" s="26" t="s">
        <v>392</v>
      </c>
      <c r="BA174" s="10" t="s">
        <v>57</v>
      </c>
      <c r="BC174" s="24">
        <f>AW174+AX174</f>
        <v>0</v>
      </c>
      <c r="BD174" s="24">
        <f>G174/(100-BE174)*100</f>
        <v>0</v>
      </c>
      <c r="BE174" s="24">
        <v>0</v>
      </c>
      <c r="BF174" s="24">
        <f>174</f>
        <v>174</v>
      </c>
      <c r="BH174" s="24">
        <f>F174*AO174</f>
        <v>0</v>
      </c>
      <c r="BI174" s="24">
        <f>F174*AP174</f>
        <v>0</v>
      </c>
      <c r="BJ174" s="24">
        <f>F174*G174</f>
        <v>0</v>
      </c>
      <c r="BK174" s="26" t="s">
        <v>58</v>
      </c>
      <c r="BL174" s="24">
        <v>90</v>
      </c>
      <c r="BW174" s="24">
        <v>21</v>
      </c>
      <c r="BX174" s="4" t="s">
        <v>396</v>
      </c>
    </row>
    <row r="175" spans="1:76" x14ac:dyDescent="0.25">
      <c r="A175" s="27"/>
      <c r="C175" s="28" t="s">
        <v>175</v>
      </c>
      <c r="D175" s="28" t="s">
        <v>397</v>
      </c>
      <c r="F175" s="29">
        <v>25</v>
      </c>
      <c r="K175" s="30"/>
    </row>
    <row r="176" spans="1:76" x14ac:dyDescent="0.25">
      <c r="A176" s="2" t="s">
        <v>398</v>
      </c>
      <c r="B176" s="3" t="s">
        <v>399</v>
      </c>
      <c r="C176" s="109" t="s">
        <v>400</v>
      </c>
      <c r="D176" s="106"/>
      <c r="E176" s="3" t="s">
        <v>391</v>
      </c>
      <c r="F176" s="24">
        <v>12</v>
      </c>
      <c r="G176" s="24">
        <v>0</v>
      </c>
      <c r="H176" s="24">
        <f>ROUND(F176*AO176,2)</f>
        <v>0</v>
      </c>
      <c r="I176" s="24">
        <f>ROUND(F176*AP176,2)</f>
        <v>0</v>
      </c>
      <c r="J176" s="24">
        <f>ROUND(F176*G176,2)</f>
        <v>0</v>
      </c>
      <c r="K176" s="25" t="s">
        <v>55</v>
      </c>
      <c r="Z176" s="24">
        <f>ROUND(IF(AQ176="5",BJ176,0),2)</f>
        <v>0</v>
      </c>
      <c r="AB176" s="24">
        <f>ROUND(IF(AQ176="1",BH176,0),2)</f>
        <v>0</v>
      </c>
      <c r="AC176" s="24">
        <f>ROUND(IF(AQ176="1",BI176,0),2)</f>
        <v>0</v>
      </c>
      <c r="AD176" s="24">
        <f>ROUND(IF(AQ176="7",BH176,0),2)</f>
        <v>0</v>
      </c>
      <c r="AE176" s="24">
        <f>ROUND(IF(AQ176="7",BI176,0),2)</f>
        <v>0</v>
      </c>
      <c r="AF176" s="24">
        <f>ROUND(IF(AQ176="2",BH176,0),2)</f>
        <v>0</v>
      </c>
      <c r="AG176" s="24">
        <f>ROUND(IF(AQ176="2",BI176,0),2)</f>
        <v>0</v>
      </c>
      <c r="AH176" s="24">
        <f>ROUND(IF(AQ176="0",BJ176,0),2)</f>
        <v>0</v>
      </c>
      <c r="AI176" s="10" t="s">
        <v>48</v>
      </c>
      <c r="AJ176" s="24">
        <f>IF(AN176=0,J176,0)</f>
        <v>0</v>
      </c>
      <c r="AK176" s="24">
        <f>IF(AN176=12,J176,0)</f>
        <v>0</v>
      </c>
      <c r="AL176" s="24">
        <f>IF(AN176=21,J176,0)</f>
        <v>0</v>
      </c>
      <c r="AN176" s="24">
        <v>21</v>
      </c>
      <c r="AO176" s="24">
        <f>G176*0</f>
        <v>0</v>
      </c>
      <c r="AP176" s="24">
        <f>G176*(1-0)</f>
        <v>0</v>
      </c>
      <c r="AQ176" s="26" t="s">
        <v>51</v>
      </c>
      <c r="AV176" s="24">
        <f>ROUND(AW176+AX176,2)</f>
        <v>0</v>
      </c>
      <c r="AW176" s="24">
        <f>ROUND(F176*AO176,2)</f>
        <v>0</v>
      </c>
      <c r="AX176" s="24">
        <f>ROUND(F176*AP176,2)</f>
        <v>0</v>
      </c>
      <c r="AY176" s="26" t="s">
        <v>392</v>
      </c>
      <c r="AZ176" s="26" t="s">
        <v>392</v>
      </c>
      <c r="BA176" s="10" t="s">
        <v>57</v>
      </c>
      <c r="BC176" s="24">
        <f>AW176+AX176</f>
        <v>0</v>
      </c>
      <c r="BD176" s="24">
        <f>G176/(100-BE176)*100</f>
        <v>0</v>
      </c>
      <c r="BE176" s="24">
        <v>0</v>
      </c>
      <c r="BF176" s="24">
        <f>176</f>
        <v>176</v>
      </c>
      <c r="BH176" s="24">
        <f>F176*AO176</f>
        <v>0</v>
      </c>
      <c r="BI176" s="24">
        <f>F176*AP176</f>
        <v>0</v>
      </c>
      <c r="BJ176" s="24">
        <f>F176*G176</f>
        <v>0</v>
      </c>
      <c r="BK176" s="26" t="s">
        <v>58</v>
      </c>
      <c r="BL176" s="24">
        <v>90</v>
      </c>
      <c r="BW176" s="24">
        <v>21</v>
      </c>
      <c r="BX176" s="4" t="s">
        <v>400</v>
      </c>
    </row>
    <row r="177" spans="1:76" x14ac:dyDescent="0.25">
      <c r="A177" s="27"/>
      <c r="C177" s="28" t="s">
        <v>117</v>
      </c>
      <c r="D177" s="28" t="s">
        <v>401</v>
      </c>
      <c r="F177" s="29">
        <v>12</v>
      </c>
      <c r="K177" s="30"/>
    </row>
    <row r="178" spans="1:76" x14ac:dyDescent="0.25">
      <c r="A178" s="2" t="s">
        <v>402</v>
      </c>
      <c r="B178" s="3" t="s">
        <v>403</v>
      </c>
      <c r="C178" s="109" t="s">
        <v>404</v>
      </c>
      <c r="D178" s="106"/>
      <c r="E178" s="3" t="s">
        <v>391</v>
      </c>
      <c r="F178" s="24">
        <v>5</v>
      </c>
      <c r="G178" s="24">
        <v>0</v>
      </c>
      <c r="H178" s="24">
        <f>ROUND(F178*AO178,2)</f>
        <v>0</v>
      </c>
      <c r="I178" s="24">
        <f>ROUND(F178*AP178,2)</f>
        <v>0</v>
      </c>
      <c r="J178" s="24">
        <f>ROUND(F178*G178,2)</f>
        <v>0</v>
      </c>
      <c r="K178" s="25" t="s">
        <v>55</v>
      </c>
      <c r="Z178" s="24">
        <f>ROUND(IF(AQ178="5",BJ178,0),2)</f>
        <v>0</v>
      </c>
      <c r="AB178" s="24">
        <f>ROUND(IF(AQ178="1",BH178,0),2)</f>
        <v>0</v>
      </c>
      <c r="AC178" s="24">
        <f>ROUND(IF(AQ178="1",BI178,0),2)</f>
        <v>0</v>
      </c>
      <c r="AD178" s="24">
        <f>ROUND(IF(AQ178="7",BH178,0),2)</f>
        <v>0</v>
      </c>
      <c r="AE178" s="24">
        <f>ROUND(IF(AQ178="7",BI178,0),2)</f>
        <v>0</v>
      </c>
      <c r="AF178" s="24">
        <f>ROUND(IF(AQ178="2",BH178,0),2)</f>
        <v>0</v>
      </c>
      <c r="AG178" s="24">
        <f>ROUND(IF(AQ178="2",BI178,0),2)</f>
        <v>0</v>
      </c>
      <c r="AH178" s="24">
        <f>ROUND(IF(AQ178="0",BJ178,0),2)</f>
        <v>0</v>
      </c>
      <c r="AI178" s="10" t="s">
        <v>48</v>
      </c>
      <c r="AJ178" s="24">
        <f>IF(AN178=0,J178,0)</f>
        <v>0</v>
      </c>
      <c r="AK178" s="24">
        <f>IF(AN178=12,J178,0)</f>
        <v>0</v>
      </c>
      <c r="AL178" s="24">
        <f>IF(AN178=21,J178,0)</f>
        <v>0</v>
      </c>
      <c r="AN178" s="24">
        <v>21</v>
      </c>
      <c r="AO178" s="24">
        <f>G178*0</f>
        <v>0</v>
      </c>
      <c r="AP178" s="24">
        <f>G178*(1-0)</f>
        <v>0</v>
      </c>
      <c r="AQ178" s="26" t="s">
        <v>51</v>
      </c>
      <c r="AV178" s="24">
        <f>ROUND(AW178+AX178,2)</f>
        <v>0</v>
      </c>
      <c r="AW178" s="24">
        <f>ROUND(F178*AO178,2)</f>
        <v>0</v>
      </c>
      <c r="AX178" s="24">
        <f>ROUND(F178*AP178,2)</f>
        <v>0</v>
      </c>
      <c r="AY178" s="26" t="s">
        <v>392</v>
      </c>
      <c r="AZ178" s="26" t="s">
        <v>392</v>
      </c>
      <c r="BA178" s="10" t="s">
        <v>57</v>
      </c>
      <c r="BC178" s="24">
        <f>AW178+AX178</f>
        <v>0</v>
      </c>
      <c r="BD178" s="24">
        <f>G178/(100-BE178)*100</f>
        <v>0</v>
      </c>
      <c r="BE178" s="24">
        <v>0</v>
      </c>
      <c r="BF178" s="24">
        <f>178</f>
        <v>178</v>
      </c>
      <c r="BH178" s="24">
        <f>F178*AO178</f>
        <v>0</v>
      </c>
      <c r="BI178" s="24">
        <f>F178*AP178</f>
        <v>0</v>
      </c>
      <c r="BJ178" s="24">
        <f>F178*G178</f>
        <v>0</v>
      </c>
      <c r="BK178" s="26" t="s">
        <v>58</v>
      </c>
      <c r="BL178" s="24">
        <v>90</v>
      </c>
      <c r="BW178" s="24">
        <v>21</v>
      </c>
      <c r="BX178" s="4" t="s">
        <v>404</v>
      </c>
    </row>
    <row r="179" spans="1:76" x14ac:dyDescent="0.25">
      <c r="A179" s="27"/>
      <c r="C179" s="28" t="s">
        <v>75</v>
      </c>
      <c r="D179" s="28" t="s">
        <v>405</v>
      </c>
      <c r="F179" s="29">
        <v>5</v>
      </c>
      <c r="K179" s="30"/>
    </row>
    <row r="180" spans="1:76" x14ac:dyDescent="0.25">
      <c r="A180" s="31" t="s">
        <v>48</v>
      </c>
      <c r="B180" s="32" t="s">
        <v>406</v>
      </c>
      <c r="C180" s="181" t="s">
        <v>407</v>
      </c>
      <c r="D180" s="182"/>
      <c r="E180" s="33" t="s">
        <v>4</v>
      </c>
      <c r="F180" s="33" t="s">
        <v>4</v>
      </c>
      <c r="G180" s="33" t="s">
        <v>4</v>
      </c>
      <c r="H180" s="1">
        <f>ROUND(SUM(H181:H183),2)</f>
        <v>0</v>
      </c>
      <c r="I180" s="1">
        <f>ROUND(SUM(I181:I183),2)</f>
        <v>0</v>
      </c>
      <c r="J180" s="1">
        <f>ROUND(SUM(J181:J183),2)</f>
        <v>0</v>
      </c>
      <c r="K180" s="34" t="s">
        <v>48</v>
      </c>
      <c r="AI180" s="10" t="s">
        <v>48</v>
      </c>
      <c r="AS180" s="1">
        <f>SUM(AJ181:AJ183)</f>
        <v>0</v>
      </c>
      <c r="AT180" s="1">
        <f>SUM(AK181:AK183)</f>
        <v>0</v>
      </c>
      <c r="AU180" s="1">
        <f>SUM(AL181:AL183)</f>
        <v>0</v>
      </c>
    </row>
    <row r="181" spans="1:76" x14ac:dyDescent="0.25">
      <c r="A181" s="2" t="s">
        <v>408</v>
      </c>
      <c r="B181" s="3" t="s">
        <v>409</v>
      </c>
      <c r="C181" s="109" t="s">
        <v>410</v>
      </c>
      <c r="D181" s="106"/>
      <c r="E181" s="3" t="s">
        <v>190</v>
      </c>
      <c r="F181" s="24">
        <v>23.69</v>
      </c>
      <c r="G181" s="24">
        <v>0</v>
      </c>
      <c r="H181" s="24">
        <f>ROUND(F181*AO181,2)</f>
        <v>0</v>
      </c>
      <c r="I181" s="24">
        <f>ROUND(F181*AP181,2)</f>
        <v>0</v>
      </c>
      <c r="J181" s="24">
        <f>ROUND(F181*G181,2)</f>
        <v>0</v>
      </c>
      <c r="K181" s="25" t="s">
        <v>55</v>
      </c>
      <c r="Z181" s="24">
        <f>ROUND(IF(AQ181="5",BJ181,0),2)</f>
        <v>0</v>
      </c>
      <c r="AB181" s="24">
        <f>ROUND(IF(AQ181="1",BH181,0),2)</f>
        <v>0</v>
      </c>
      <c r="AC181" s="24">
        <f>ROUND(IF(AQ181="1",BI181,0),2)</f>
        <v>0</v>
      </c>
      <c r="AD181" s="24">
        <f>ROUND(IF(AQ181="7",BH181,0),2)</f>
        <v>0</v>
      </c>
      <c r="AE181" s="24">
        <f>ROUND(IF(AQ181="7",BI181,0),2)</f>
        <v>0</v>
      </c>
      <c r="AF181" s="24">
        <f>ROUND(IF(AQ181="2",BH181,0),2)</f>
        <v>0</v>
      </c>
      <c r="AG181" s="24">
        <f>ROUND(IF(AQ181="2",BI181,0),2)</f>
        <v>0</v>
      </c>
      <c r="AH181" s="24">
        <f>ROUND(IF(AQ181="0",BJ181,0),2)</f>
        <v>0</v>
      </c>
      <c r="AI181" s="10" t="s">
        <v>48</v>
      </c>
      <c r="AJ181" s="24">
        <f>IF(AN181=0,J181,0)</f>
        <v>0</v>
      </c>
      <c r="AK181" s="24">
        <f>IF(AN181=12,J181,0)</f>
        <v>0</v>
      </c>
      <c r="AL181" s="24">
        <f>IF(AN181=21,J181,0)</f>
        <v>0</v>
      </c>
      <c r="AN181" s="24">
        <v>21</v>
      </c>
      <c r="AO181" s="24">
        <f>G181*0.714794051</f>
        <v>0</v>
      </c>
      <c r="AP181" s="24">
        <f>G181*(1-0.714794051)</f>
        <v>0</v>
      </c>
      <c r="AQ181" s="26" t="s">
        <v>51</v>
      </c>
      <c r="AV181" s="24">
        <f>ROUND(AW181+AX181,2)</f>
        <v>0</v>
      </c>
      <c r="AW181" s="24">
        <f>ROUND(F181*AO181,2)</f>
        <v>0</v>
      </c>
      <c r="AX181" s="24">
        <f>ROUND(F181*AP181,2)</f>
        <v>0</v>
      </c>
      <c r="AY181" s="26" t="s">
        <v>411</v>
      </c>
      <c r="AZ181" s="26" t="s">
        <v>411</v>
      </c>
      <c r="BA181" s="10" t="s">
        <v>57</v>
      </c>
      <c r="BC181" s="24">
        <f>AW181+AX181</f>
        <v>0</v>
      </c>
      <c r="BD181" s="24">
        <f>G181/(100-BE181)*100</f>
        <v>0</v>
      </c>
      <c r="BE181" s="24">
        <v>0</v>
      </c>
      <c r="BF181" s="24">
        <f>181</f>
        <v>181</v>
      </c>
      <c r="BH181" s="24">
        <f>F181*AO181</f>
        <v>0</v>
      </c>
      <c r="BI181" s="24">
        <f>F181*AP181</f>
        <v>0</v>
      </c>
      <c r="BJ181" s="24">
        <f>F181*G181</f>
        <v>0</v>
      </c>
      <c r="BK181" s="26" t="s">
        <v>58</v>
      </c>
      <c r="BL181" s="24">
        <v>93</v>
      </c>
      <c r="BW181" s="24">
        <v>21</v>
      </c>
      <c r="BX181" s="4" t="s">
        <v>410</v>
      </c>
    </row>
    <row r="182" spans="1:76" x14ac:dyDescent="0.25">
      <c r="A182" s="27"/>
      <c r="C182" s="28" t="s">
        <v>340</v>
      </c>
      <c r="D182" s="28" t="s">
        <v>48</v>
      </c>
      <c r="F182" s="29">
        <v>23.69</v>
      </c>
      <c r="K182" s="30"/>
    </row>
    <row r="183" spans="1:76" x14ac:dyDescent="0.25">
      <c r="A183" s="2" t="s">
        <v>412</v>
      </c>
      <c r="B183" s="3" t="s">
        <v>413</v>
      </c>
      <c r="C183" s="109" t="s">
        <v>414</v>
      </c>
      <c r="D183" s="106"/>
      <c r="E183" s="3" t="s">
        <v>84</v>
      </c>
      <c r="F183" s="24">
        <v>11.85</v>
      </c>
      <c r="G183" s="24">
        <v>0</v>
      </c>
      <c r="H183" s="24">
        <f>ROUND(F183*AO183,2)</f>
        <v>0</v>
      </c>
      <c r="I183" s="24">
        <f>ROUND(F183*AP183,2)</f>
        <v>0</v>
      </c>
      <c r="J183" s="24">
        <f>ROUND(F183*G183,2)</f>
        <v>0</v>
      </c>
      <c r="K183" s="25" t="s">
        <v>55</v>
      </c>
      <c r="Z183" s="24">
        <f>ROUND(IF(AQ183="5",BJ183,0),2)</f>
        <v>0</v>
      </c>
      <c r="AB183" s="24">
        <f>ROUND(IF(AQ183="1",BH183,0),2)</f>
        <v>0</v>
      </c>
      <c r="AC183" s="24">
        <f>ROUND(IF(AQ183="1",BI183,0),2)</f>
        <v>0</v>
      </c>
      <c r="AD183" s="24">
        <f>ROUND(IF(AQ183="7",BH183,0),2)</f>
        <v>0</v>
      </c>
      <c r="AE183" s="24">
        <f>ROUND(IF(AQ183="7",BI183,0),2)</f>
        <v>0</v>
      </c>
      <c r="AF183" s="24">
        <f>ROUND(IF(AQ183="2",BH183,0),2)</f>
        <v>0</v>
      </c>
      <c r="AG183" s="24">
        <f>ROUND(IF(AQ183="2",BI183,0),2)</f>
        <v>0</v>
      </c>
      <c r="AH183" s="24">
        <f>ROUND(IF(AQ183="0",BJ183,0),2)</f>
        <v>0</v>
      </c>
      <c r="AI183" s="10" t="s">
        <v>48</v>
      </c>
      <c r="AJ183" s="24">
        <f>IF(AN183=0,J183,0)</f>
        <v>0</v>
      </c>
      <c r="AK183" s="24">
        <f>IF(AN183=12,J183,0)</f>
        <v>0</v>
      </c>
      <c r="AL183" s="24">
        <f>IF(AN183=21,J183,0)</f>
        <v>0</v>
      </c>
      <c r="AN183" s="24">
        <v>21</v>
      </c>
      <c r="AO183" s="24">
        <f>G183*0.365413758</f>
        <v>0</v>
      </c>
      <c r="AP183" s="24">
        <f>G183*(1-0.365413758)</f>
        <v>0</v>
      </c>
      <c r="AQ183" s="26" t="s">
        <v>51</v>
      </c>
      <c r="AV183" s="24">
        <f>ROUND(AW183+AX183,2)</f>
        <v>0</v>
      </c>
      <c r="AW183" s="24">
        <f>ROUND(F183*AO183,2)</f>
        <v>0</v>
      </c>
      <c r="AX183" s="24">
        <f>ROUND(F183*AP183,2)</f>
        <v>0</v>
      </c>
      <c r="AY183" s="26" t="s">
        <v>411</v>
      </c>
      <c r="AZ183" s="26" t="s">
        <v>411</v>
      </c>
      <c r="BA183" s="10" t="s">
        <v>57</v>
      </c>
      <c r="BC183" s="24">
        <f>AW183+AX183</f>
        <v>0</v>
      </c>
      <c r="BD183" s="24">
        <f>G183/(100-BE183)*100</f>
        <v>0</v>
      </c>
      <c r="BE183" s="24">
        <v>0</v>
      </c>
      <c r="BF183" s="24">
        <f>183</f>
        <v>183</v>
      </c>
      <c r="BH183" s="24">
        <f>F183*AO183</f>
        <v>0</v>
      </c>
      <c r="BI183" s="24">
        <f>F183*AP183</f>
        <v>0</v>
      </c>
      <c r="BJ183" s="24">
        <f>F183*G183</f>
        <v>0</v>
      </c>
      <c r="BK183" s="26" t="s">
        <v>58</v>
      </c>
      <c r="BL183" s="24">
        <v>93</v>
      </c>
      <c r="BW183" s="24">
        <v>21</v>
      </c>
      <c r="BX183" s="4" t="s">
        <v>414</v>
      </c>
    </row>
    <row r="184" spans="1:76" x14ac:dyDescent="0.25">
      <c r="A184" s="27"/>
      <c r="C184" s="28" t="s">
        <v>415</v>
      </c>
      <c r="D184" s="28" t="s">
        <v>48</v>
      </c>
      <c r="F184" s="29">
        <v>11.85</v>
      </c>
      <c r="K184" s="30"/>
    </row>
    <row r="185" spans="1:76" x14ac:dyDescent="0.25">
      <c r="A185" s="31" t="s">
        <v>48</v>
      </c>
      <c r="B185" s="32" t="s">
        <v>416</v>
      </c>
      <c r="C185" s="181" t="s">
        <v>417</v>
      </c>
      <c r="D185" s="182"/>
      <c r="E185" s="33" t="s">
        <v>4</v>
      </c>
      <c r="F185" s="33" t="s">
        <v>4</v>
      </c>
      <c r="G185" s="33" t="s">
        <v>4</v>
      </c>
      <c r="H185" s="1">
        <f>ROUND(SUM(H186:H191),2)</f>
        <v>0</v>
      </c>
      <c r="I185" s="1">
        <f>ROUND(SUM(I186:I191),2)</f>
        <v>0</v>
      </c>
      <c r="J185" s="1">
        <f>ROUND(SUM(J186:J191),2)</f>
        <v>0</v>
      </c>
      <c r="K185" s="34" t="s">
        <v>48</v>
      </c>
      <c r="AI185" s="10" t="s">
        <v>48</v>
      </c>
      <c r="AS185" s="1">
        <f>SUM(AJ186:AJ191)</f>
        <v>0</v>
      </c>
      <c r="AT185" s="1">
        <f>SUM(AK186:AK191)</f>
        <v>0</v>
      </c>
      <c r="AU185" s="1">
        <f>SUM(AL186:AL191)</f>
        <v>0</v>
      </c>
    </row>
    <row r="186" spans="1:76" x14ac:dyDescent="0.25">
      <c r="A186" s="2" t="s">
        <v>418</v>
      </c>
      <c r="B186" s="3" t="s">
        <v>419</v>
      </c>
      <c r="C186" s="109" t="s">
        <v>420</v>
      </c>
      <c r="D186" s="106"/>
      <c r="E186" s="3" t="s">
        <v>84</v>
      </c>
      <c r="F186" s="24">
        <v>18</v>
      </c>
      <c r="G186" s="24">
        <v>0</v>
      </c>
      <c r="H186" s="24">
        <f>ROUND(F186*AO186,2)</f>
        <v>0</v>
      </c>
      <c r="I186" s="24">
        <f>ROUND(F186*AP186,2)</f>
        <v>0</v>
      </c>
      <c r="J186" s="24">
        <f>ROUND(F186*G186,2)</f>
        <v>0</v>
      </c>
      <c r="K186" s="25" t="s">
        <v>55</v>
      </c>
      <c r="Z186" s="24">
        <f>ROUND(IF(AQ186="5",BJ186,0),2)</f>
        <v>0</v>
      </c>
      <c r="AB186" s="24">
        <f>ROUND(IF(AQ186="1",BH186,0),2)</f>
        <v>0</v>
      </c>
      <c r="AC186" s="24">
        <f>ROUND(IF(AQ186="1",BI186,0),2)</f>
        <v>0</v>
      </c>
      <c r="AD186" s="24">
        <f>ROUND(IF(AQ186="7",BH186,0),2)</f>
        <v>0</v>
      </c>
      <c r="AE186" s="24">
        <f>ROUND(IF(AQ186="7",BI186,0),2)</f>
        <v>0</v>
      </c>
      <c r="AF186" s="24">
        <f>ROUND(IF(AQ186="2",BH186,0),2)</f>
        <v>0</v>
      </c>
      <c r="AG186" s="24">
        <f>ROUND(IF(AQ186="2",BI186,0),2)</f>
        <v>0</v>
      </c>
      <c r="AH186" s="24">
        <f>ROUND(IF(AQ186="0",BJ186,0),2)</f>
        <v>0</v>
      </c>
      <c r="AI186" s="10" t="s">
        <v>48</v>
      </c>
      <c r="AJ186" s="24">
        <f>IF(AN186=0,J186,0)</f>
        <v>0</v>
      </c>
      <c r="AK186" s="24">
        <f>IF(AN186=12,J186,0)</f>
        <v>0</v>
      </c>
      <c r="AL186" s="24">
        <f>IF(AN186=21,J186,0)</f>
        <v>0</v>
      </c>
      <c r="AN186" s="24">
        <v>21</v>
      </c>
      <c r="AO186" s="24">
        <f>G186*0.000381728</f>
        <v>0</v>
      </c>
      <c r="AP186" s="24">
        <f>G186*(1-0.000381728)</f>
        <v>0</v>
      </c>
      <c r="AQ186" s="26" t="s">
        <v>51</v>
      </c>
      <c r="AV186" s="24">
        <f>ROUND(AW186+AX186,2)</f>
        <v>0</v>
      </c>
      <c r="AW186" s="24">
        <f>ROUND(F186*AO186,2)</f>
        <v>0</v>
      </c>
      <c r="AX186" s="24">
        <f>ROUND(F186*AP186,2)</f>
        <v>0</v>
      </c>
      <c r="AY186" s="26" t="s">
        <v>421</v>
      </c>
      <c r="AZ186" s="26" t="s">
        <v>421</v>
      </c>
      <c r="BA186" s="10" t="s">
        <v>57</v>
      </c>
      <c r="BC186" s="24">
        <f>AW186+AX186</f>
        <v>0</v>
      </c>
      <c r="BD186" s="24">
        <f>G186/(100-BE186)*100</f>
        <v>0</v>
      </c>
      <c r="BE186" s="24">
        <v>0</v>
      </c>
      <c r="BF186" s="24">
        <f>186</f>
        <v>186</v>
      </c>
      <c r="BH186" s="24">
        <f>F186*AO186</f>
        <v>0</v>
      </c>
      <c r="BI186" s="24">
        <f>F186*AP186</f>
        <v>0</v>
      </c>
      <c r="BJ186" s="24">
        <f>F186*G186</f>
        <v>0</v>
      </c>
      <c r="BK186" s="26" t="s">
        <v>58</v>
      </c>
      <c r="BL186" s="24">
        <v>94</v>
      </c>
      <c r="BW186" s="24">
        <v>21</v>
      </c>
      <c r="BX186" s="4" t="s">
        <v>420</v>
      </c>
    </row>
    <row r="187" spans="1:76" x14ac:dyDescent="0.25">
      <c r="A187" s="27"/>
      <c r="C187" s="28" t="s">
        <v>422</v>
      </c>
      <c r="D187" s="28" t="s">
        <v>423</v>
      </c>
      <c r="F187" s="29">
        <v>18</v>
      </c>
      <c r="K187" s="30"/>
    </row>
    <row r="188" spans="1:76" x14ac:dyDescent="0.25">
      <c r="A188" s="2" t="s">
        <v>424</v>
      </c>
      <c r="B188" s="3" t="s">
        <v>425</v>
      </c>
      <c r="C188" s="109" t="s">
        <v>426</v>
      </c>
      <c r="D188" s="106"/>
      <c r="E188" s="3" t="s">
        <v>84</v>
      </c>
      <c r="F188" s="24">
        <v>90</v>
      </c>
      <c r="G188" s="24">
        <v>0</v>
      </c>
      <c r="H188" s="24">
        <f>ROUND(F188*AO188,2)</f>
        <v>0</v>
      </c>
      <c r="I188" s="24">
        <f>ROUND(F188*AP188,2)</f>
        <v>0</v>
      </c>
      <c r="J188" s="24">
        <f>ROUND(F188*G188,2)</f>
        <v>0</v>
      </c>
      <c r="K188" s="25" t="s">
        <v>55</v>
      </c>
      <c r="Z188" s="24">
        <f>ROUND(IF(AQ188="5",BJ188,0),2)</f>
        <v>0</v>
      </c>
      <c r="AB188" s="24">
        <f>ROUND(IF(AQ188="1",BH188,0),2)</f>
        <v>0</v>
      </c>
      <c r="AC188" s="24">
        <f>ROUND(IF(AQ188="1",BI188,0),2)</f>
        <v>0</v>
      </c>
      <c r="AD188" s="24">
        <f>ROUND(IF(AQ188="7",BH188,0),2)</f>
        <v>0</v>
      </c>
      <c r="AE188" s="24">
        <f>ROUND(IF(AQ188="7",BI188,0),2)</f>
        <v>0</v>
      </c>
      <c r="AF188" s="24">
        <f>ROUND(IF(AQ188="2",BH188,0),2)</f>
        <v>0</v>
      </c>
      <c r="AG188" s="24">
        <f>ROUND(IF(AQ188="2",BI188,0),2)</f>
        <v>0</v>
      </c>
      <c r="AH188" s="24">
        <f>ROUND(IF(AQ188="0",BJ188,0),2)</f>
        <v>0</v>
      </c>
      <c r="AI188" s="10" t="s">
        <v>48</v>
      </c>
      <c r="AJ188" s="24">
        <f>IF(AN188=0,J188,0)</f>
        <v>0</v>
      </c>
      <c r="AK188" s="24">
        <f>IF(AN188=12,J188,0)</f>
        <v>0</v>
      </c>
      <c r="AL188" s="24">
        <f>IF(AN188=21,J188,0)</f>
        <v>0</v>
      </c>
      <c r="AN188" s="24">
        <v>21</v>
      </c>
      <c r="AO188" s="24">
        <f>G188*0.924649299</f>
        <v>0</v>
      </c>
      <c r="AP188" s="24">
        <f>G188*(1-0.924649299)</f>
        <v>0</v>
      </c>
      <c r="AQ188" s="26" t="s">
        <v>51</v>
      </c>
      <c r="AV188" s="24">
        <f>ROUND(AW188+AX188,2)</f>
        <v>0</v>
      </c>
      <c r="AW188" s="24">
        <f>ROUND(F188*AO188,2)</f>
        <v>0</v>
      </c>
      <c r="AX188" s="24">
        <f>ROUND(F188*AP188,2)</f>
        <v>0</v>
      </c>
      <c r="AY188" s="26" t="s">
        <v>421</v>
      </c>
      <c r="AZ188" s="26" t="s">
        <v>421</v>
      </c>
      <c r="BA188" s="10" t="s">
        <v>57</v>
      </c>
      <c r="BC188" s="24">
        <f>AW188+AX188</f>
        <v>0</v>
      </c>
      <c r="BD188" s="24">
        <f>G188/(100-BE188)*100</f>
        <v>0</v>
      </c>
      <c r="BE188" s="24">
        <v>0</v>
      </c>
      <c r="BF188" s="24">
        <f>188</f>
        <v>188</v>
      </c>
      <c r="BH188" s="24">
        <f>F188*AO188</f>
        <v>0</v>
      </c>
      <c r="BI188" s="24">
        <f>F188*AP188</f>
        <v>0</v>
      </c>
      <c r="BJ188" s="24">
        <f>F188*G188</f>
        <v>0</v>
      </c>
      <c r="BK188" s="26" t="s">
        <v>58</v>
      </c>
      <c r="BL188" s="24">
        <v>94</v>
      </c>
      <c r="BW188" s="24">
        <v>21</v>
      </c>
      <c r="BX188" s="4" t="s">
        <v>426</v>
      </c>
    </row>
    <row r="189" spans="1:76" x14ac:dyDescent="0.25">
      <c r="A189" s="27"/>
      <c r="C189" s="28" t="s">
        <v>427</v>
      </c>
      <c r="D189" s="28" t="s">
        <v>48</v>
      </c>
      <c r="F189" s="29">
        <v>90</v>
      </c>
      <c r="K189" s="30"/>
    </row>
    <row r="190" spans="1:76" x14ac:dyDescent="0.25">
      <c r="A190" s="2" t="s">
        <v>428</v>
      </c>
      <c r="B190" s="3" t="s">
        <v>429</v>
      </c>
      <c r="C190" s="109" t="s">
        <v>430</v>
      </c>
      <c r="D190" s="106"/>
      <c r="E190" s="3" t="s">
        <v>84</v>
      </c>
      <c r="F190" s="24">
        <v>18</v>
      </c>
      <c r="G190" s="24">
        <v>0</v>
      </c>
      <c r="H190" s="24">
        <f>ROUND(F190*AO190,2)</f>
        <v>0</v>
      </c>
      <c r="I190" s="24">
        <f>ROUND(F190*AP190,2)</f>
        <v>0</v>
      </c>
      <c r="J190" s="24">
        <f>ROUND(F190*G190,2)</f>
        <v>0</v>
      </c>
      <c r="K190" s="25" t="s">
        <v>55</v>
      </c>
      <c r="Z190" s="24">
        <f>ROUND(IF(AQ190="5",BJ190,0),2)</f>
        <v>0</v>
      </c>
      <c r="AB190" s="24">
        <f>ROUND(IF(AQ190="1",BH190,0),2)</f>
        <v>0</v>
      </c>
      <c r="AC190" s="24">
        <f>ROUND(IF(AQ190="1",BI190,0),2)</f>
        <v>0</v>
      </c>
      <c r="AD190" s="24">
        <f>ROUND(IF(AQ190="7",BH190,0),2)</f>
        <v>0</v>
      </c>
      <c r="AE190" s="24">
        <f>ROUND(IF(AQ190="7",BI190,0),2)</f>
        <v>0</v>
      </c>
      <c r="AF190" s="24">
        <f>ROUND(IF(AQ190="2",BH190,0),2)</f>
        <v>0</v>
      </c>
      <c r="AG190" s="24">
        <f>ROUND(IF(AQ190="2",BI190,0),2)</f>
        <v>0</v>
      </c>
      <c r="AH190" s="24">
        <f>ROUND(IF(AQ190="0",BJ190,0),2)</f>
        <v>0</v>
      </c>
      <c r="AI190" s="10" t="s">
        <v>48</v>
      </c>
      <c r="AJ190" s="24">
        <f>IF(AN190=0,J190,0)</f>
        <v>0</v>
      </c>
      <c r="AK190" s="24">
        <f>IF(AN190=12,J190,0)</f>
        <v>0</v>
      </c>
      <c r="AL190" s="24">
        <f>IF(AN190=21,J190,0)</f>
        <v>0</v>
      </c>
      <c r="AN190" s="24">
        <v>21</v>
      </c>
      <c r="AO190" s="24">
        <f>G190*0</f>
        <v>0</v>
      </c>
      <c r="AP190" s="24">
        <f>G190*(1-0)</f>
        <v>0</v>
      </c>
      <c r="AQ190" s="26" t="s">
        <v>51</v>
      </c>
      <c r="AV190" s="24">
        <f>ROUND(AW190+AX190,2)</f>
        <v>0</v>
      </c>
      <c r="AW190" s="24">
        <f>ROUND(F190*AO190,2)</f>
        <v>0</v>
      </c>
      <c r="AX190" s="24">
        <f>ROUND(F190*AP190,2)</f>
        <v>0</v>
      </c>
      <c r="AY190" s="26" t="s">
        <v>421</v>
      </c>
      <c r="AZ190" s="26" t="s">
        <v>421</v>
      </c>
      <c r="BA190" s="10" t="s">
        <v>57</v>
      </c>
      <c r="BC190" s="24">
        <f>AW190+AX190</f>
        <v>0</v>
      </c>
      <c r="BD190" s="24">
        <f>G190/(100-BE190)*100</f>
        <v>0</v>
      </c>
      <c r="BE190" s="24">
        <v>0</v>
      </c>
      <c r="BF190" s="24">
        <f>190</f>
        <v>190</v>
      </c>
      <c r="BH190" s="24">
        <f>F190*AO190</f>
        <v>0</v>
      </c>
      <c r="BI190" s="24">
        <f>F190*AP190</f>
        <v>0</v>
      </c>
      <c r="BJ190" s="24">
        <f>F190*G190</f>
        <v>0</v>
      </c>
      <c r="BK190" s="26" t="s">
        <v>58</v>
      </c>
      <c r="BL190" s="24">
        <v>94</v>
      </c>
      <c r="BW190" s="24">
        <v>21</v>
      </c>
      <c r="BX190" s="4" t="s">
        <v>430</v>
      </c>
    </row>
    <row r="191" spans="1:76" x14ac:dyDescent="0.25">
      <c r="A191" s="2" t="s">
        <v>431</v>
      </c>
      <c r="B191" s="3" t="s">
        <v>432</v>
      </c>
      <c r="C191" s="109" t="s">
        <v>433</v>
      </c>
      <c r="D191" s="106"/>
      <c r="E191" s="3" t="s">
        <v>84</v>
      </c>
      <c r="F191" s="24">
        <v>32.94</v>
      </c>
      <c r="G191" s="24">
        <v>0</v>
      </c>
      <c r="H191" s="24">
        <f>ROUND(F191*AO191,2)</f>
        <v>0</v>
      </c>
      <c r="I191" s="24">
        <f>ROUND(F191*AP191,2)</f>
        <v>0</v>
      </c>
      <c r="J191" s="24">
        <f>ROUND(F191*G191,2)</f>
        <v>0</v>
      </c>
      <c r="K191" s="25" t="s">
        <v>55</v>
      </c>
      <c r="Z191" s="24">
        <f>ROUND(IF(AQ191="5",BJ191,0),2)</f>
        <v>0</v>
      </c>
      <c r="AB191" s="24">
        <f>ROUND(IF(AQ191="1",BH191,0),2)</f>
        <v>0</v>
      </c>
      <c r="AC191" s="24">
        <f>ROUND(IF(AQ191="1",BI191,0),2)</f>
        <v>0</v>
      </c>
      <c r="AD191" s="24">
        <f>ROUND(IF(AQ191="7",BH191,0),2)</f>
        <v>0</v>
      </c>
      <c r="AE191" s="24">
        <f>ROUND(IF(AQ191="7",BI191,0),2)</f>
        <v>0</v>
      </c>
      <c r="AF191" s="24">
        <f>ROUND(IF(AQ191="2",BH191,0),2)</f>
        <v>0</v>
      </c>
      <c r="AG191" s="24">
        <f>ROUND(IF(AQ191="2",BI191,0),2)</f>
        <v>0</v>
      </c>
      <c r="AH191" s="24">
        <f>ROUND(IF(AQ191="0",BJ191,0),2)</f>
        <v>0</v>
      </c>
      <c r="AI191" s="10" t="s">
        <v>48</v>
      </c>
      <c r="AJ191" s="24">
        <f>IF(AN191=0,J191,0)</f>
        <v>0</v>
      </c>
      <c r="AK191" s="24">
        <f>IF(AN191=12,J191,0)</f>
        <v>0</v>
      </c>
      <c r="AL191" s="24">
        <f>IF(AN191=21,J191,0)</f>
        <v>0</v>
      </c>
      <c r="AN191" s="24">
        <v>21</v>
      </c>
      <c r="AO191" s="24">
        <f>G191*0.307293297</f>
        <v>0</v>
      </c>
      <c r="AP191" s="24">
        <f>G191*(1-0.307293297)</f>
        <v>0</v>
      </c>
      <c r="AQ191" s="26" t="s">
        <v>51</v>
      </c>
      <c r="AV191" s="24">
        <f>ROUND(AW191+AX191,2)</f>
        <v>0</v>
      </c>
      <c r="AW191" s="24">
        <f>ROUND(F191*AO191,2)</f>
        <v>0</v>
      </c>
      <c r="AX191" s="24">
        <f>ROUND(F191*AP191,2)</f>
        <v>0</v>
      </c>
      <c r="AY191" s="26" t="s">
        <v>421</v>
      </c>
      <c r="AZ191" s="26" t="s">
        <v>421</v>
      </c>
      <c r="BA191" s="10" t="s">
        <v>57</v>
      </c>
      <c r="BC191" s="24">
        <f>AW191+AX191</f>
        <v>0</v>
      </c>
      <c r="BD191" s="24">
        <f>G191/(100-BE191)*100</f>
        <v>0</v>
      </c>
      <c r="BE191" s="24">
        <v>0</v>
      </c>
      <c r="BF191" s="24">
        <f>191</f>
        <v>191</v>
      </c>
      <c r="BH191" s="24">
        <f>F191*AO191</f>
        <v>0</v>
      </c>
      <c r="BI191" s="24">
        <f>F191*AP191</f>
        <v>0</v>
      </c>
      <c r="BJ191" s="24">
        <f>F191*G191</f>
        <v>0</v>
      </c>
      <c r="BK191" s="26" t="s">
        <v>58</v>
      </c>
      <c r="BL191" s="24">
        <v>94</v>
      </c>
      <c r="BW191" s="24">
        <v>21</v>
      </c>
      <c r="BX191" s="4" t="s">
        <v>433</v>
      </c>
    </row>
    <row r="192" spans="1:76" x14ac:dyDescent="0.25">
      <c r="A192" s="27"/>
      <c r="C192" s="28" t="s">
        <v>144</v>
      </c>
      <c r="D192" s="28" t="s">
        <v>48</v>
      </c>
      <c r="F192" s="29">
        <v>32.94</v>
      </c>
      <c r="K192" s="30"/>
    </row>
    <row r="193" spans="1:76" x14ac:dyDescent="0.25">
      <c r="A193" s="31" t="s">
        <v>48</v>
      </c>
      <c r="B193" s="32" t="s">
        <v>434</v>
      </c>
      <c r="C193" s="181" t="s">
        <v>435</v>
      </c>
      <c r="D193" s="182"/>
      <c r="E193" s="33" t="s">
        <v>4</v>
      </c>
      <c r="F193" s="33" t="s">
        <v>4</v>
      </c>
      <c r="G193" s="33" t="s">
        <v>4</v>
      </c>
      <c r="H193" s="1">
        <f>ROUND(SUM(H194:H203),2)</f>
        <v>0</v>
      </c>
      <c r="I193" s="1">
        <f>ROUND(SUM(I194:I203),2)</f>
        <v>0</v>
      </c>
      <c r="J193" s="1">
        <f>ROUND(SUM(J194:J203),2)</f>
        <v>0</v>
      </c>
      <c r="K193" s="34" t="s">
        <v>48</v>
      </c>
      <c r="AI193" s="10" t="s">
        <v>48</v>
      </c>
      <c r="AS193" s="1">
        <f>SUM(AJ194:AJ203)</f>
        <v>0</v>
      </c>
      <c r="AT193" s="1">
        <f>SUM(AK194:AK203)</f>
        <v>0</v>
      </c>
      <c r="AU193" s="1">
        <f>SUM(AL194:AL203)</f>
        <v>0</v>
      </c>
    </row>
    <row r="194" spans="1:76" x14ac:dyDescent="0.25">
      <c r="A194" s="2" t="s">
        <v>436</v>
      </c>
      <c r="B194" s="3" t="s">
        <v>437</v>
      </c>
      <c r="C194" s="109" t="s">
        <v>438</v>
      </c>
      <c r="D194" s="106"/>
      <c r="E194" s="3" t="s">
        <v>84</v>
      </c>
      <c r="F194" s="24">
        <v>74.88</v>
      </c>
      <c r="G194" s="24">
        <v>0</v>
      </c>
      <c r="H194" s="24">
        <f>ROUND(F194*AO194,2)</f>
        <v>0</v>
      </c>
      <c r="I194" s="24">
        <f>ROUND(F194*AP194,2)</f>
        <v>0</v>
      </c>
      <c r="J194" s="24">
        <f>ROUND(F194*G194,2)</f>
        <v>0</v>
      </c>
      <c r="K194" s="25" t="s">
        <v>55</v>
      </c>
      <c r="Z194" s="24">
        <f>ROUND(IF(AQ194="5",BJ194,0),2)</f>
        <v>0</v>
      </c>
      <c r="AB194" s="24">
        <f>ROUND(IF(AQ194="1",BH194,0),2)</f>
        <v>0</v>
      </c>
      <c r="AC194" s="24">
        <f>ROUND(IF(AQ194="1",BI194,0),2)</f>
        <v>0</v>
      </c>
      <c r="AD194" s="24">
        <f>ROUND(IF(AQ194="7",BH194,0),2)</f>
        <v>0</v>
      </c>
      <c r="AE194" s="24">
        <f>ROUND(IF(AQ194="7",BI194,0),2)</f>
        <v>0</v>
      </c>
      <c r="AF194" s="24">
        <f>ROUND(IF(AQ194="2",BH194,0),2)</f>
        <v>0</v>
      </c>
      <c r="AG194" s="24">
        <f>ROUND(IF(AQ194="2",BI194,0),2)</f>
        <v>0</v>
      </c>
      <c r="AH194" s="24">
        <f>ROUND(IF(AQ194="0",BJ194,0),2)</f>
        <v>0</v>
      </c>
      <c r="AI194" s="10" t="s">
        <v>48</v>
      </c>
      <c r="AJ194" s="24">
        <f>IF(AN194=0,J194,0)</f>
        <v>0</v>
      </c>
      <c r="AK194" s="24">
        <f>IF(AN194=12,J194,0)</f>
        <v>0</v>
      </c>
      <c r="AL194" s="24">
        <f>IF(AN194=21,J194,0)</f>
        <v>0</v>
      </c>
      <c r="AN194" s="24">
        <v>21</v>
      </c>
      <c r="AO194" s="24">
        <f>G194*0.012633662</f>
        <v>0</v>
      </c>
      <c r="AP194" s="24">
        <f>G194*(1-0.012633662)</f>
        <v>0</v>
      </c>
      <c r="AQ194" s="26" t="s">
        <v>51</v>
      </c>
      <c r="AV194" s="24">
        <f>ROUND(AW194+AX194,2)</f>
        <v>0</v>
      </c>
      <c r="AW194" s="24">
        <f>ROUND(F194*AO194,2)</f>
        <v>0</v>
      </c>
      <c r="AX194" s="24">
        <f>ROUND(F194*AP194,2)</f>
        <v>0</v>
      </c>
      <c r="AY194" s="26" t="s">
        <v>439</v>
      </c>
      <c r="AZ194" s="26" t="s">
        <v>439</v>
      </c>
      <c r="BA194" s="10" t="s">
        <v>57</v>
      </c>
      <c r="BC194" s="24">
        <f>AW194+AX194</f>
        <v>0</v>
      </c>
      <c r="BD194" s="24">
        <f>G194/(100-BE194)*100</f>
        <v>0</v>
      </c>
      <c r="BE194" s="24">
        <v>0</v>
      </c>
      <c r="BF194" s="24">
        <f>194</f>
        <v>194</v>
      </c>
      <c r="BH194" s="24">
        <f>F194*AO194</f>
        <v>0</v>
      </c>
      <c r="BI194" s="24">
        <f>F194*AP194</f>
        <v>0</v>
      </c>
      <c r="BJ194" s="24">
        <f>F194*G194</f>
        <v>0</v>
      </c>
      <c r="BK194" s="26" t="s">
        <v>58</v>
      </c>
      <c r="BL194" s="24">
        <v>95</v>
      </c>
      <c r="BW194" s="24">
        <v>21</v>
      </c>
      <c r="BX194" s="4" t="s">
        <v>438</v>
      </c>
    </row>
    <row r="195" spans="1:76" x14ac:dyDescent="0.25">
      <c r="A195" s="27"/>
      <c r="C195" s="28" t="s">
        <v>350</v>
      </c>
      <c r="D195" s="28" t="s">
        <v>48</v>
      </c>
      <c r="F195" s="29">
        <v>74.88</v>
      </c>
      <c r="K195" s="30"/>
    </row>
    <row r="196" spans="1:76" x14ac:dyDescent="0.25">
      <c r="A196" s="2" t="s">
        <v>440</v>
      </c>
      <c r="B196" s="3" t="s">
        <v>441</v>
      </c>
      <c r="C196" s="109" t="s">
        <v>442</v>
      </c>
      <c r="D196" s="106"/>
      <c r="E196" s="3" t="s">
        <v>84</v>
      </c>
      <c r="F196" s="24">
        <v>153.4</v>
      </c>
      <c r="G196" s="24">
        <v>0</v>
      </c>
      <c r="H196" s="24">
        <f>ROUND(F196*AO196,2)</f>
        <v>0</v>
      </c>
      <c r="I196" s="24">
        <f>ROUND(F196*AP196,2)</f>
        <v>0</v>
      </c>
      <c r="J196" s="24">
        <f>ROUND(F196*G196,2)</f>
        <v>0</v>
      </c>
      <c r="K196" s="25" t="s">
        <v>55</v>
      </c>
      <c r="Z196" s="24">
        <f>ROUND(IF(AQ196="5",BJ196,0),2)</f>
        <v>0</v>
      </c>
      <c r="AB196" s="24">
        <f>ROUND(IF(AQ196="1",BH196,0),2)</f>
        <v>0</v>
      </c>
      <c r="AC196" s="24">
        <f>ROUND(IF(AQ196="1",BI196,0),2)</f>
        <v>0</v>
      </c>
      <c r="AD196" s="24">
        <f>ROUND(IF(AQ196="7",BH196,0),2)</f>
        <v>0</v>
      </c>
      <c r="AE196" s="24">
        <f>ROUND(IF(AQ196="7",BI196,0),2)</f>
        <v>0</v>
      </c>
      <c r="AF196" s="24">
        <f>ROUND(IF(AQ196="2",BH196,0),2)</f>
        <v>0</v>
      </c>
      <c r="AG196" s="24">
        <f>ROUND(IF(AQ196="2",BI196,0),2)</f>
        <v>0</v>
      </c>
      <c r="AH196" s="24">
        <f>ROUND(IF(AQ196="0",BJ196,0),2)</f>
        <v>0</v>
      </c>
      <c r="AI196" s="10" t="s">
        <v>48</v>
      </c>
      <c r="AJ196" s="24">
        <f>IF(AN196=0,J196,0)</f>
        <v>0</v>
      </c>
      <c r="AK196" s="24">
        <f>IF(AN196=12,J196,0)</f>
        <v>0</v>
      </c>
      <c r="AL196" s="24">
        <f>IF(AN196=21,J196,0)</f>
        <v>0</v>
      </c>
      <c r="AN196" s="24">
        <v>21</v>
      </c>
      <c r="AO196" s="24">
        <f>G196*0</f>
        <v>0</v>
      </c>
      <c r="AP196" s="24">
        <f>G196*(1-0)</f>
        <v>0</v>
      </c>
      <c r="AQ196" s="26" t="s">
        <v>51</v>
      </c>
      <c r="AV196" s="24">
        <f>ROUND(AW196+AX196,2)</f>
        <v>0</v>
      </c>
      <c r="AW196" s="24">
        <f>ROUND(F196*AO196,2)</f>
        <v>0</v>
      </c>
      <c r="AX196" s="24">
        <f>ROUND(F196*AP196,2)</f>
        <v>0</v>
      </c>
      <c r="AY196" s="26" t="s">
        <v>439</v>
      </c>
      <c r="AZ196" s="26" t="s">
        <v>439</v>
      </c>
      <c r="BA196" s="10" t="s">
        <v>57</v>
      </c>
      <c r="BC196" s="24">
        <f>AW196+AX196</f>
        <v>0</v>
      </c>
      <c r="BD196" s="24">
        <f>G196/(100-BE196)*100</f>
        <v>0</v>
      </c>
      <c r="BE196" s="24">
        <v>0</v>
      </c>
      <c r="BF196" s="24">
        <f>196</f>
        <v>196</v>
      </c>
      <c r="BH196" s="24">
        <f>F196*AO196</f>
        <v>0</v>
      </c>
      <c r="BI196" s="24">
        <f>F196*AP196</f>
        <v>0</v>
      </c>
      <c r="BJ196" s="24">
        <f>F196*G196</f>
        <v>0</v>
      </c>
      <c r="BK196" s="26" t="s">
        <v>58</v>
      </c>
      <c r="BL196" s="24">
        <v>95</v>
      </c>
      <c r="BW196" s="24">
        <v>21</v>
      </c>
      <c r="BX196" s="4" t="s">
        <v>442</v>
      </c>
    </row>
    <row r="197" spans="1:76" x14ac:dyDescent="0.25">
      <c r="A197" s="27"/>
      <c r="C197" s="28" t="s">
        <v>443</v>
      </c>
      <c r="D197" s="28" t="s">
        <v>444</v>
      </c>
      <c r="F197" s="29">
        <v>153.4</v>
      </c>
      <c r="K197" s="30"/>
    </row>
    <row r="198" spans="1:76" x14ac:dyDescent="0.25">
      <c r="A198" s="2" t="s">
        <v>445</v>
      </c>
      <c r="B198" s="3" t="s">
        <v>446</v>
      </c>
      <c r="C198" s="109" t="s">
        <v>447</v>
      </c>
      <c r="D198" s="106"/>
      <c r="E198" s="3" t="s">
        <v>152</v>
      </c>
      <c r="F198" s="24">
        <v>1</v>
      </c>
      <c r="G198" s="24">
        <v>0</v>
      </c>
      <c r="H198" s="24">
        <f>ROUND(F198*AO198,2)</f>
        <v>0</v>
      </c>
      <c r="I198" s="24">
        <f>ROUND(F198*AP198,2)</f>
        <v>0</v>
      </c>
      <c r="J198" s="24">
        <f>ROUND(F198*G198,2)</f>
        <v>0</v>
      </c>
      <c r="K198" s="25" t="s">
        <v>55</v>
      </c>
      <c r="Z198" s="24">
        <f>ROUND(IF(AQ198="5",BJ198,0),2)</f>
        <v>0</v>
      </c>
      <c r="AB198" s="24">
        <f>ROUND(IF(AQ198="1",BH198,0),2)</f>
        <v>0</v>
      </c>
      <c r="AC198" s="24">
        <f>ROUND(IF(AQ198="1",BI198,0),2)</f>
        <v>0</v>
      </c>
      <c r="AD198" s="24">
        <f>ROUND(IF(AQ198="7",BH198,0),2)</f>
        <v>0</v>
      </c>
      <c r="AE198" s="24">
        <f>ROUND(IF(AQ198="7",BI198,0),2)</f>
        <v>0</v>
      </c>
      <c r="AF198" s="24">
        <f>ROUND(IF(AQ198="2",BH198,0),2)</f>
        <v>0</v>
      </c>
      <c r="AG198" s="24">
        <f>ROUND(IF(AQ198="2",BI198,0),2)</f>
        <v>0</v>
      </c>
      <c r="AH198" s="24">
        <f>ROUND(IF(AQ198="0",BJ198,0),2)</f>
        <v>0</v>
      </c>
      <c r="AI198" s="10" t="s">
        <v>48</v>
      </c>
      <c r="AJ198" s="24">
        <f>IF(AN198=0,J198,0)</f>
        <v>0</v>
      </c>
      <c r="AK198" s="24">
        <f>IF(AN198=12,J198,0)</f>
        <v>0</v>
      </c>
      <c r="AL198" s="24">
        <f>IF(AN198=21,J198,0)</f>
        <v>0</v>
      </c>
      <c r="AN198" s="24">
        <v>21</v>
      </c>
      <c r="AO198" s="24">
        <f>G198*0.140526316</f>
        <v>0</v>
      </c>
      <c r="AP198" s="24">
        <f>G198*(1-0.140526316)</f>
        <v>0</v>
      </c>
      <c r="AQ198" s="26" t="s">
        <v>51</v>
      </c>
      <c r="AV198" s="24">
        <f>ROUND(AW198+AX198,2)</f>
        <v>0</v>
      </c>
      <c r="AW198" s="24">
        <f>ROUND(F198*AO198,2)</f>
        <v>0</v>
      </c>
      <c r="AX198" s="24">
        <f>ROUND(F198*AP198,2)</f>
        <v>0</v>
      </c>
      <c r="AY198" s="26" t="s">
        <v>439</v>
      </c>
      <c r="AZ198" s="26" t="s">
        <v>439</v>
      </c>
      <c r="BA198" s="10" t="s">
        <v>57</v>
      </c>
      <c r="BC198" s="24">
        <f>AW198+AX198</f>
        <v>0</v>
      </c>
      <c r="BD198" s="24">
        <f>G198/(100-BE198)*100</f>
        <v>0</v>
      </c>
      <c r="BE198" s="24">
        <v>0</v>
      </c>
      <c r="BF198" s="24">
        <f>198</f>
        <v>198</v>
      </c>
      <c r="BH198" s="24">
        <f>F198*AO198</f>
        <v>0</v>
      </c>
      <c r="BI198" s="24">
        <f>F198*AP198</f>
        <v>0</v>
      </c>
      <c r="BJ198" s="24">
        <f>F198*G198</f>
        <v>0</v>
      </c>
      <c r="BK198" s="26" t="s">
        <v>58</v>
      </c>
      <c r="BL198" s="24">
        <v>95</v>
      </c>
      <c r="BW198" s="24">
        <v>21</v>
      </c>
      <c r="BX198" s="4" t="s">
        <v>447</v>
      </c>
    </row>
    <row r="199" spans="1:76" x14ac:dyDescent="0.25">
      <c r="A199" s="2" t="s">
        <v>448</v>
      </c>
      <c r="B199" s="3" t="s">
        <v>449</v>
      </c>
      <c r="C199" s="109" t="s">
        <v>450</v>
      </c>
      <c r="D199" s="106"/>
      <c r="E199" s="3" t="s">
        <v>152</v>
      </c>
      <c r="F199" s="24">
        <v>1</v>
      </c>
      <c r="G199" s="24">
        <v>0</v>
      </c>
      <c r="H199" s="24">
        <f>ROUND(F199*AO199,2)</f>
        <v>0</v>
      </c>
      <c r="I199" s="24">
        <f>ROUND(F199*AP199,2)</f>
        <v>0</v>
      </c>
      <c r="J199" s="24">
        <f>ROUND(F199*G199,2)</f>
        <v>0</v>
      </c>
      <c r="K199" s="25" t="s">
        <v>55</v>
      </c>
      <c r="Z199" s="24">
        <f>ROUND(IF(AQ199="5",BJ199,0),2)</f>
        <v>0</v>
      </c>
      <c r="AB199" s="24">
        <f>ROUND(IF(AQ199="1",BH199,0),2)</f>
        <v>0</v>
      </c>
      <c r="AC199" s="24">
        <f>ROUND(IF(AQ199="1",BI199,0),2)</f>
        <v>0</v>
      </c>
      <c r="AD199" s="24">
        <f>ROUND(IF(AQ199="7",BH199,0),2)</f>
        <v>0</v>
      </c>
      <c r="AE199" s="24">
        <f>ROUND(IF(AQ199="7",BI199,0),2)</f>
        <v>0</v>
      </c>
      <c r="AF199" s="24">
        <f>ROUND(IF(AQ199="2",BH199,0),2)</f>
        <v>0</v>
      </c>
      <c r="AG199" s="24">
        <f>ROUND(IF(AQ199="2",BI199,0),2)</f>
        <v>0</v>
      </c>
      <c r="AH199" s="24">
        <f>ROUND(IF(AQ199="0",BJ199,0),2)</f>
        <v>0</v>
      </c>
      <c r="AI199" s="10" t="s">
        <v>48</v>
      </c>
      <c r="AJ199" s="24">
        <f>IF(AN199=0,J199,0)</f>
        <v>0</v>
      </c>
      <c r="AK199" s="24">
        <f>IF(AN199=12,J199,0)</f>
        <v>0</v>
      </c>
      <c r="AL199" s="24">
        <f>IF(AN199=21,J199,0)</f>
        <v>0</v>
      </c>
      <c r="AN199" s="24">
        <v>21</v>
      </c>
      <c r="AO199" s="24">
        <f>G199*1</f>
        <v>0</v>
      </c>
      <c r="AP199" s="24">
        <f>G199*(1-1)</f>
        <v>0</v>
      </c>
      <c r="AQ199" s="26" t="s">
        <v>51</v>
      </c>
      <c r="AV199" s="24">
        <f>ROUND(AW199+AX199,2)</f>
        <v>0</v>
      </c>
      <c r="AW199" s="24">
        <f>ROUND(F199*AO199,2)</f>
        <v>0</v>
      </c>
      <c r="AX199" s="24">
        <f>ROUND(F199*AP199,2)</f>
        <v>0</v>
      </c>
      <c r="AY199" s="26" t="s">
        <v>439</v>
      </c>
      <c r="AZ199" s="26" t="s">
        <v>439</v>
      </c>
      <c r="BA199" s="10" t="s">
        <v>57</v>
      </c>
      <c r="BC199" s="24">
        <f>AW199+AX199</f>
        <v>0</v>
      </c>
      <c r="BD199" s="24">
        <f>G199/(100-BE199)*100</f>
        <v>0</v>
      </c>
      <c r="BE199" s="24">
        <v>0</v>
      </c>
      <c r="BF199" s="24">
        <f>199</f>
        <v>199</v>
      </c>
      <c r="BH199" s="24">
        <f>F199*AO199</f>
        <v>0</v>
      </c>
      <c r="BI199" s="24">
        <f>F199*AP199</f>
        <v>0</v>
      </c>
      <c r="BJ199" s="24">
        <f>F199*G199</f>
        <v>0</v>
      </c>
      <c r="BK199" s="26" t="s">
        <v>224</v>
      </c>
      <c r="BL199" s="24">
        <v>95</v>
      </c>
      <c r="BW199" s="24">
        <v>21</v>
      </c>
      <c r="BX199" s="4" t="s">
        <v>450</v>
      </c>
    </row>
    <row r="200" spans="1:76" x14ac:dyDescent="0.25">
      <c r="A200" s="2" t="s">
        <v>451</v>
      </c>
      <c r="B200" s="3" t="s">
        <v>452</v>
      </c>
      <c r="C200" s="109" t="s">
        <v>453</v>
      </c>
      <c r="D200" s="106"/>
      <c r="E200" s="3" t="s">
        <v>152</v>
      </c>
      <c r="F200" s="24">
        <v>1</v>
      </c>
      <c r="G200" s="24">
        <v>0</v>
      </c>
      <c r="H200" s="24">
        <f>ROUND(F200*AO200,2)</f>
        <v>0</v>
      </c>
      <c r="I200" s="24">
        <f>ROUND(F200*AP200,2)</f>
        <v>0</v>
      </c>
      <c r="J200" s="24">
        <f>ROUND(F200*G200,2)</f>
        <v>0</v>
      </c>
      <c r="K200" s="25" t="s">
        <v>55</v>
      </c>
      <c r="Z200" s="24">
        <f>ROUND(IF(AQ200="5",BJ200,0),2)</f>
        <v>0</v>
      </c>
      <c r="AB200" s="24">
        <f>ROUND(IF(AQ200="1",BH200,0),2)</f>
        <v>0</v>
      </c>
      <c r="AC200" s="24">
        <f>ROUND(IF(AQ200="1",BI200,0),2)</f>
        <v>0</v>
      </c>
      <c r="AD200" s="24">
        <f>ROUND(IF(AQ200="7",BH200,0),2)</f>
        <v>0</v>
      </c>
      <c r="AE200" s="24">
        <f>ROUND(IF(AQ200="7",BI200,0),2)</f>
        <v>0</v>
      </c>
      <c r="AF200" s="24">
        <f>ROUND(IF(AQ200="2",BH200,0),2)</f>
        <v>0</v>
      </c>
      <c r="AG200" s="24">
        <f>ROUND(IF(AQ200="2",BI200,0),2)</f>
        <v>0</v>
      </c>
      <c r="AH200" s="24">
        <f>ROUND(IF(AQ200="0",BJ200,0),2)</f>
        <v>0</v>
      </c>
      <c r="AI200" s="10" t="s">
        <v>48</v>
      </c>
      <c r="AJ200" s="24">
        <f>IF(AN200=0,J200,0)</f>
        <v>0</v>
      </c>
      <c r="AK200" s="24">
        <f>IF(AN200=12,J200,0)</f>
        <v>0</v>
      </c>
      <c r="AL200" s="24">
        <f>IF(AN200=21,J200,0)</f>
        <v>0</v>
      </c>
      <c r="AN200" s="24">
        <v>21</v>
      </c>
      <c r="AO200" s="24">
        <f>G200*0</f>
        <v>0</v>
      </c>
      <c r="AP200" s="24">
        <f>G200*(1-0)</f>
        <v>0</v>
      </c>
      <c r="AQ200" s="26" t="s">
        <v>51</v>
      </c>
      <c r="AV200" s="24">
        <f>ROUND(AW200+AX200,2)</f>
        <v>0</v>
      </c>
      <c r="AW200" s="24">
        <f>ROUND(F200*AO200,2)</f>
        <v>0</v>
      </c>
      <c r="AX200" s="24">
        <f>ROUND(F200*AP200,2)</f>
        <v>0</v>
      </c>
      <c r="AY200" s="26" t="s">
        <v>439</v>
      </c>
      <c r="AZ200" s="26" t="s">
        <v>439</v>
      </c>
      <c r="BA200" s="10" t="s">
        <v>57</v>
      </c>
      <c r="BC200" s="24">
        <f>AW200+AX200</f>
        <v>0</v>
      </c>
      <c r="BD200" s="24">
        <f>G200/(100-BE200)*100</f>
        <v>0</v>
      </c>
      <c r="BE200" s="24">
        <v>0</v>
      </c>
      <c r="BF200" s="24">
        <f>200</f>
        <v>200</v>
      </c>
      <c r="BH200" s="24">
        <f>F200*AO200</f>
        <v>0</v>
      </c>
      <c r="BI200" s="24">
        <f>F200*AP200</f>
        <v>0</v>
      </c>
      <c r="BJ200" s="24">
        <f>F200*G200</f>
        <v>0</v>
      </c>
      <c r="BK200" s="26" t="s">
        <v>58</v>
      </c>
      <c r="BL200" s="24">
        <v>95</v>
      </c>
      <c r="BW200" s="24">
        <v>21</v>
      </c>
      <c r="BX200" s="4" t="s">
        <v>453</v>
      </c>
    </row>
    <row r="201" spans="1:76" x14ac:dyDescent="0.25">
      <c r="A201" s="2" t="s">
        <v>454</v>
      </c>
      <c r="B201" s="3" t="s">
        <v>455</v>
      </c>
      <c r="C201" s="109" t="s">
        <v>456</v>
      </c>
      <c r="D201" s="106"/>
      <c r="E201" s="3" t="s">
        <v>152</v>
      </c>
      <c r="F201" s="24">
        <v>170</v>
      </c>
      <c r="G201" s="24">
        <v>0</v>
      </c>
      <c r="H201" s="24">
        <f>ROUND(F201*AO201,2)</f>
        <v>0</v>
      </c>
      <c r="I201" s="24">
        <f>ROUND(F201*AP201,2)</f>
        <v>0</v>
      </c>
      <c r="J201" s="24">
        <f>ROUND(F201*G201,2)</f>
        <v>0</v>
      </c>
      <c r="K201" s="25" t="s">
        <v>55</v>
      </c>
      <c r="Z201" s="24">
        <f>ROUND(IF(AQ201="5",BJ201,0),2)</f>
        <v>0</v>
      </c>
      <c r="AB201" s="24">
        <f>ROUND(IF(AQ201="1",BH201,0),2)</f>
        <v>0</v>
      </c>
      <c r="AC201" s="24">
        <f>ROUND(IF(AQ201="1",BI201,0),2)</f>
        <v>0</v>
      </c>
      <c r="AD201" s="24">
        <f>ROUND(IF(AQ201="7",BH201,0),2)</f>
        <v>0</v>
      </c>
      <c r="AE201" s="24">
        <f>ROUND(IF(AQ201="7",BI201,0),2)</f>
        <v>0</v>
      </c>
      <c r="AF201" s="24">
        <f>ROUND(IF(AQ201="2",BH201,0),2)</f>
        <v>0</v>
      </c>
      <c r="AG201" s="24">
        <f>ROUND(IF(AQ201="2",BI201,0),2)</f>
        <v>0</v>
      </c>
      <c r="AH201" s="24">
        <f>ROUND(IF(AQ201="0",BJ201,0),2)</f>
        <v>0</v>
      </c>
      <c r="AI201" s="10" t="s">
        <v>48</v>
      </c>
      <c r="AJ201" s="24">
        <f>IF(AN201=0,J201,0)</f>
        <v>0</v>
      </c>
      <c r="AK201" s="24">
        <f>IF(AN201=12,J201,0)</f>
        <v>0</v>
      </c>
      <c r="AL201" s="24">
        <f>IF(AN201=21,J201,0)</f>
        <v>0</v>
      </c>
      <c r="AN201" s="24">
        <v>21</v>
      </c>
      <c r="AO201" s="24">
        <f>G201*0.332692308</f>
        <v>0</v>
      </c>
      <c r="AP201" s="24">
        <f>G201*(1-0.332692308)</f>
        <v>0</v>
      </c>
      <c r="AQ201" s="26" t="s">
        <v>51</v>
      </c>
      <c r="AV201" s="24">
        <f>ROUND(AW201+AX201,2)</f>
        <v>0</v>
      </c>
      <c r="AW201" s="24">
        <f>ROUND(F201*AO201,2)</f>
        <v>0</v>
      </c>
      <c r="AX201" s="24">
        <f>ROUND(F201*AP201,2)</f>
        <v>0</v>
      </c>
      <c r="AY201" s="26" t="s">
        <v>439</v>
      </c>
      <c r="AZ201" s="26" t="s">
        <v>439</v>
      </c>
      <c r="BA201" s="10" t="s">
        <v>57</v>
      </c>
      <c r="BC201" s="24">
        <f>AW201+AX201</f>
        <v>0</v>
      </c>
      <c r="BD201" s="24">
        <f>G201/(100-BE201)*100</f>
        <v>0</v>
      </c>
      <c r="BE201" s="24">
        <v>0</v>
      </c>
      <c r="BF201" s="24">
        <f>201</f>
        <v>201</v>
      </c>
      <c r="BH201" s="24">
        <f>F201*AO201</f>
        <v>0</v>
      </c>
      <c r="BI201" s="24">
        <f>F201*AP201</f>
        <v>0</v>
      </c>
      <c r="BJ201" s="24">
        <f>F201*G201</f>
        <v>0</v>
      </c>
      <c r="BK201" s="26" t="s">
        <v>58</v>
      </c>
      <c r="BL201" s="24">
        <v>95</v>
      </c>
      <c r="BW201" s="24">
        <v>21</v>
      </c>
      <c r="BX201" s="4" t="s">
        <v>456</v>
      </c>
    </row>
    <row r="202" spans="1:76" x14ac:dyDescent="0.25">
      <c r="A202" s="27"/>
      <c r="C202" s="28" t="s">
        <v>457</v>
      </c>
      <c r="D202" s="28" t="s">
        <v>458</v>
      </c>
      <c r="F202" s="29">
        <v>170</v>
      </c>
      <c r="K202" s="30"/>
    </row>
    <row r="203" spans="1:76" x14ac:dyDescent="0.25">
      <c r="A203" s="2" t="s">
        <v>459</v>
      </c>
      <c r="B203" s="3" t="s">
        <v>460</v>
      </c>
      <c r="C203" s="109" t="s">
        <v>461</v>
      </c>
      <c r="D203" s="106"/>
      <c r="E203" s="3" t="s">
        <v>462</v>
      </c>
      <c r="F203" s="24">
        <v>2</v>
      </c>
      <c r="G203" s="24">
        <v>0</v>
      </c>
      <c r="H203" s="24">
        <f>ROUND(F203*AO203,2)</f>
        <v>0</v>
      </c>
      <c r="I203" s="24">
        <f>ROUND(F203*AP203,2)</f>
        <v>0</v>
      </c>
      <c r="J203" s="24">
        <f>ROUND(F203*G203,2)</f>
        <v>0</v>
      </c>
      <c r="K203" s="25" t="s">
        <v>55</v>
      </c>
      <c r="Z203" s="24">
        <f>ROUND(IF(AQ203="5",BJ203,0),2)</f>
        <v>0</v>
      </c>
      <c r="AB203" s="24">
        <f>ROUND(IF(AQ203="1",BH203,0),2)</f>
        <v>0</v>
      </c>
      <c r="AC203" s="24">
        <f>ROUND(IF(AQ203="1",BI203,0),2)</f>
        <v>0</v>
      </c>
      <c r="AD203" s="24">
        <f>ROUND(IF(AQ203="7",BH203,0),2)</f>
        <v>0</v>
      </c>
      <c r="AE203" s="24">
        <f>ROUND(IF(AQ203="7",BI203,0),2)</f>
        <v>0</v>
      </c>
      <c r="AF203" s="24">
        <f>ROUND(IF(AQ203="2",BH203,0),2)</f>
        <v>0</v>
      </c>
      <c r="AG203" s="24">
        <f>ROUND(IF(AQ203="2",BI203,0),2)</f>
        <v>0</v>
      </c>
      <c r="AH203" s="24">
        <f>ROUND(IF(AQ203="0",BJ203,0),2)</f>
        <v>0</v>
      </c>
      <c r="AI203" s="10" t="s">
        <v>48</v>
      </c>
      <c r="AJ203" s="24">
        <f>IF(AN203=0,J203,0)</f>
        <v>0</v>
      </c>
      <c r="AK203" s="24">
        <f>IF(AN203=12,J203,0)</f>
        <v>0</v>
      </c>
      <c r="AL203" s="24">
        <f>IF(AN203=21,J203,0)</f>
        <v>0</v>
      </c>
      <c r="AN203" s="24">
        <v>21</v>
      </c>
      <c r="AO203" s="24">
        <f>G203*0</f>
        <v>0</v>
      </c>
      <c r="AP203" s="24">
        <f>G203*(1-0)</f>
        <v>0</v>
      </c>
      <c r="AQ203" s="26" t="s">
        <v>51</v>
      </c>
      <c r="AV203" s="24">
        <f>ROUND(AW203+AX203,2)</f>
        <v>0</v>
      </c>
      <c r="AW203" s="24">
        <f>ROUND(F203*AO203,2)</f>
        <v>0</v>
      </c>
      <c r="AX203" s="24">
        <f>ROUND(F203*AP203,2)</f>
        <v>0</v>
      </c>
      <c r="AY203" s="26" t="s">
        <v>439</v>
      </c>
      <c r="AZ203" s="26" t="s">
        <v>439</v>
      </c>
      <c r="BA203" s="10" t="s">
        <v>57</v>
      </c>
      <c r="BC203" s="24">
        <f>AW203+AX203</f>
        <v>0</v>
      </c>
      <c r="BD203" s="24">
        <f>G203/(100-BE203)*100</f>
        <v>0</v>
      </c>
      <c r="BE203" s="24">
        <v>0</v>
      </c>
      <c r="BF203" s="24">
        <f>203</f>
        <v>203</v>
      </c>
      <c r="BH203" s="24">
        <f>F203*AO203</f>
        <v>0</v>
      </c>
      <c r="BI203" s="24">
        <f>F203*AP203</f>
        <v>0</v>
      </c>
      <c r="BJ203" s="24">
        <f>F203*G203</f>
        <v>0</v>
      </c>
      <c r="BK203" s="26" t="s">
        <v>58</v>
      </c>
      <c r="BL203" s="24">
        <v>95</v>
      </c>
      <c r="BW203" s="24">
        <v>21</v>
      </c>
      <c r="BX203" s="4" t="s">
        <v>461</v>
      </c>
    </row>
    <row r="204" spans="1:76" x14ac:dyDescent="0.25">
      <c r="A204" s="27"/>
      <c r="C204" s="28" t="s">
        <v>63</v>
      </c>
      <c r="D204" s="28" t="s">
        <v>463</v>
      </c>
      <c r="F204" s="29">
        <v>2</v>
      </c>
      <c r="K204" s="30"/>
    </row>
    <row r="205" spans="1:76" x14ac:dyDescent="0.25">
      <c r="A205" s="31" t="s">
        <v>48</v>
      </c>
      <c r="B205" s="32" t="s">
        <v>464</v>
      </c>
      <c r="C205" s="181" t="s">
        <v>465</v>
      </c>
      <c r="D205" s="182"/>
      <c r="E205" s="33" t="s">
        <v>4</v>
      </c>
      <c r="F205" s="33" t="s">
        <v>4</v>
      </c>
      <c r="G205" s="33" t="s">
        <v>4</v>
      </c>
      <c r="H205" s="1">
        <f>ROUND(SUM(H206:H226),2)</f>
        <v>0</v>
      </c>
      <c r="I205" s="1">
        <f>ROUND(SUM(I206:I226),2)</f>
        <v>0</v>
      </c>
      <c r="J205" s="1">
        <f>ROUND(SUM(J206:J226),2)</f>
        <v>0</v>
      </c>
      <c r="K205" s="34" t="s">
        <v>48</v>
      </c>
      <c r="AI205" s="10" t="s">
        <v>48</v>
      </c>
      <c r="AS205" s="1">
        <f>SUM(AJ206:AJ226)</f>
        <v>0</v>
      </c>
      <c r="AT205" s="1">
        <f>SUM(AK206:AK226)</f>
        <v>0</v>
      </c>
      <c r="AU205" s="1">
        <f>SUM(AL206:AL226)</f>
        <v>0</v>
      </c>
    </row>
    <row r="206" spans="1:76" x14ac:dyDescent="0.25">
      <c r="A206" s="2" t="s">
        <v>466</v>
      </c>
      <c r="B206" s="3" t="s">
        <v>467</v>
      </c>
      <c r="C206" s="109" t="s">
        <v>468</v>
      </c>
      <c r="D206" s="106"/>
      <c r="E206" s="3" t="s">
        <v>54</v>
      </c>
      <c r="F206" s="24">
        <v>0.13</v>
      </c>
      <c r="G206" s="24">
        <v>0</v>
      </c>
      <c r="H206" s="24">
        <f>ROUND(F206*AO206,2)</f>
        <v>0</v>
      </c>
      <c r="I206" s="24">
        <f>ROUND(F206*AP206,2)</f>
        <v>0</v>
      </c>
      <c r="J206" s="24">
        <f>ROUND(F206*G206,2)</f>
        <v>0</v>
      </c>
      <c r="K206" s="25" t="s">
        <v>55</v>
      </c>
      <c r="Z206" s="24">
        <f>ROUND(IF(AQ206="5",BJ206,0),2)</f>
        <v>0</v>
      </c>
      <c r="AB206" s="24">
        <f>ROUND(IF(AQ206="1",BH206,0),2)</f>
        <v>0</v>
      </c>
      <c r="AC206" s="24">
        <f>ROUND(IF(AQ206="1",BI206,0),2)</f>
        <v>0</v>
      </c>
      <c r="AD206" s="24">
        <f>ROUND(IF(AQ206="7",BH206,0),2)</f>
        <v>0</v>
      </c>
      <c r="AE206" s="24">
        <f>ROUND(IF(AQ206="7",BI206,0),2)</f>
        <v>0</v>
      </c>
      <c r="AF206" s="24">
        <f>ROUND(IF(AQ206="2",BH206,0),2)</f>
        <v>0</v>
      </c>
      <c r="AG206" s="24">
        <f>ROUND(IF(AQ206="2",BI206,0),2)</f>
        <v>0</v>
      </c>
      <c r="AH206" s="24">
        <f>ROUND(IF(AQ206="0",BJ206,0),2)</f>
        <v>0</v>
      </c>
      <c r="AI206" s="10" t="s">
        <v>48</v>
      </c>
      <c r="AJ206" s="24">
        <f>IF(AN206=0,J206,0)</f>
        <v>0</v>
      </c>
      <c r="AK206" s="24">
        <f>IF(AN206=12,J206,0)</f>
        <v>0</v>
      </c>
      <c r="AL206" s="24">
        <f>IF(AN206=21,J206,0)</f>
        <v>0</v>
      </c>
      <c r="AN206" s="24">
        <v>21</v>
      </c>
      <c r="AO206" s="24">
        <f>G206*0</f>
        <v>0</v>
      </c>
      <c r="AP206" s="24">
        <f>G206*(1-0)</f>
        <v>0</v>
      </c>
      <c r="AQ206" s="26" t="s">
        <v>51</v>
      </c>
      <c r="AV206" s="24">
        <f>ROUND(AW206+AX206,2)</f>
        <v>0</v>
      </c>
      <c r="AW206" s="24">
        <f>ROUND(F206*AO206,2)</f>
        <v>0</v>
      </c>
      <c r="AX206" s="24">
        <f>ROUND(F206*AP206,2)</f>
        <v>0</v>
      </c>
      <c r="AY206" s="26" t="s">
        <v>469</v>
      </c>
      <c r="AZ206" s="26" t="s">
        <v>469</v>
      </c>
      <c r="BA206" s="10" t="s">
        <v>57</v>
      </c>
      <c r="BC206" s="24">
        <f>AW206+AX206</f>
        <v>0</v>
      </c>
      <c r="BD206" s="24">
        <f>G206/(100-BE206)*100</f>
        <v>0</v>
      </c>
      <c r="BE206" s="24">
        <v>0</v>
      </c>
      <c r="BF206" s="24">
        <f>206</f>
        <v>206</v>
      </c>
      <c r="BH206" s="24">
        <f>F206*AO206</f>
        <v>0</v>
      </c>
      <c r="BI206" s="24">
        <f>F206*AP206</f>
        <v>0</v>
      </c>
      <c r="BJ206" s="24">
        <f>F206*G206</f>
        <v>0</v>
      </c>
      <c r="BK206" s="26" t="s">
        <v>58</v>
      </c>
      <c r="BL206" s="24">
        <v>96</v>
      </c>
      <c r="BW206" s="24">
        <v>21</v>
      </c>
      <c r="BX206" s="4" t="s">
        <v>468</v>
      </c>
    </row>
    <row r="207" spans="1:76" x14ac:dyDescent="0.25">
      <c r="A207" s="27"/>
      <c r="C207" s="28" t="s">
        <v>470</v>
      </c>
      <c r="D207" s="28" t="s">
        <v>471</v>
      </c>
      <c r="F207" s="29">
        <v>0.13</v>
      </c>
      <c r="K207" s="30"/>
    </row>
    <row r="208" spans="1:76" x14ac:dyDescent="0.25">
      <c r="A208" s="2" t="s">
        <v>472</v>
      </c>
      <c r="B208" s="3" t="s">
        <v>473</v>
      </c>
      <c r="C208" s="109" t="s">
        <v>474</v>
      </c>
      <c r="D208" s="106"/>
      <c r="E208" s="3" t="s">
        <v>84</v>
      </c>
      <c r="F208" s="24">
        <v>6.43</v>
      </c>
      <c r="G208" s="24">
        <v>0</v>
      </c>
      <c r="H208" s="24">
        <f>ROUND(F208*AO208,2)</f>
        <v>0</v>
      </c>
      <c r="I208" s="24">
        <f>ROUND(F208*AP208,2)</f>
        <v>0</v>
      </c>
      <c r="J208" s="24">
        <f>ROUND(F208*G208,2)</f>
        <v>0</v>
      </c>
      <c r="K208" s="25" t="s">
        <v>55</v>
      </c>
      <c r="Z208" s="24">
        <f>ROUND(IF(AQ208="5",BJ208,0),2)</f>
        <v>0</v>
      </c>
      <c r="AB208" s="24">
        <f>ROUND(IF(AQ208="1",BH208,0),2)</f>
        <v>0</v>
      </c>
      <c r="AC208" s="24">
        <f>ROUND(IF(AQ208="1",BI208,0),2)</f>
        <v>0</v>
      </c>
      <c r="AD208" s="24">
        <f>ROUND(IF(AQ208="7",BH208,0),2)</f>
        <v>0</v>
      </c>
      <c r="AE208" s="24">
        <f>ROUND(IF(AQ208="7",BI208,0),2)</f>
        <v>0</v>
      </c>
      <c r="AF208" s="24">
        <f>ROUND(IF(AQ208="2",BH208,0),2)</f>
        <v>0</v>
      </c>
      <c r="AG208" s="24">
        <f>ROUND(IF(AQ208="2",BI208,0),2)</f>
        <v>0</v>
      </c>
      <c r="AH208" s="24">
        <f>ROUND(IF(AQ208="0",BJ208,0),2)</f>
        <v>0</v>
      </c>
      <c r="AI208" s="10" t="s">
        <v>48</v>
      </c>
      <c r="AJ208" s="24">
        <f>IF(AN208=0,J208,0)</f>
        <v>0</v>
      </c>
      <c r="AK208" s="24">
        <f>IF(AN208=12,J208,0)</f>
        <v>0</v>
      </c>
      <c r="AL208" s="24">
        <f>IF(AN208=21,J208,0)</f>
        <v>0</v>
      </c>
      <c r="AN208" s="24">
        <v>21</v>
      </c>
      <c r="AO208" s="24">
        <f>G208*0.110714286</f>
        <v>0</v>
      </c>
      <c r="AP208" s="24">
        <f>G208*(1-0.110714286)</f>
        <v>0</v>
      </c>
      <c r="AQ208" s="26" t="s">
        <v>51</v>
      </c>
      <c r="AV208" s="24">
        <f>ROUND(AW208+AX208,2)</f>
        <v>0</v>
      </c>
      <c r="AW208" s="24">
        <f>ROUND(F208*AO208,2)</f>
        <v>0</v>
      </c>
      <c r="AX208" s="24">
        <f>ROUND(F208*AP208,2)</f>
        <v>0</v>
      </c>
      <c r="AY208" s="26" t="s">
        <v>469</v>
      </c>
      <c r="AZ208" s="26" t="s">
        <v>469</v>
      </c>
      <c r="BA208" s="10" t="s">
        <v>57</v>
      </c>
      <c r="BC208" s="24">
        <f>AW208+AX208</f>
        <v>0</v>
      </c>
      <c r="BD208" s="24">
        <f>G208/(100-BE208)*100</f>
        <v>0</v>
      </c>
      <c r="BE208" s="24">
        <v>0</v>
      </c>
      <c r="BF208" s="24">
        <f>208</f>
        <v>208</v>
      </c>
      <c r="BH208" s="24">
        <f>F208*AO208</f>
        <v>0</v>
      </c>
      <c r="BI208" s="24">
        <f>F208*AP208</f>
        <v>0</v>
      </c>
      <c r="BJ208" s="24">
        <f>F208*G208</f>
        <v>0</v>
      </c>
      <c r="BK208" s="26" t="s">
        <v>58</v>
      </c>
      <c r="BL208" s="24">
        <v>96</v>
      </c>
      <c r="BW208" s="24">
        <v>21</v>
      </c>
      <c r="BX208" s="4" t="s">
        <v>474</v>
      </c>
    </row>
    <row r="209" spans="1:76" x14ac:dyDescent="0.25">
      <c r="A209" s="27"/>
      <c r="C209" s="28" t="s">
        <v>475</v>
      </c>
      <c r="D209" s="28" t="s">
        <v>476</v>
      </c>
      <c r="F209" s="29">
        <v>6.43</v>
      </c>
      <c r="K209" s="30"/>
    </row>
    <row r="210" spans="1:76" x14ac:dyDescent="0.25">
      <c r="A210" s="2" t="s">
        <v>386</v>
      </c>
      <c r="B210" s="3" t="s">
        <v>477</v>
      </c>
      <c r="C210" s="109" t="s">
        <v>478</v>
      </c>
      <c r="D210" s="106"/>
      <c r="E210" s="3" t="s">
        <v>84</v>
      </c>
      <c r="F210" s="24">
        <v>6.43</v>
      </c>
      <c r="G210" s="24">
        <v>0</v>
      </c>
      <c r="H210" s="24">
        <f>ROUND(F210*AO210,2)</f>
        <v>0</v>
      </c>
      <c r="I210" s="24">
        <f>ROUND(F210*AP210,2)</f>
        <v>0</v>
      </c>
      <c r="J210" s="24">
        <f>ROUND(F210*G210,2)</f>
        <v>0</v>
      </c>
      <c r="K210" s="25" t="s">
        <v>55</v>
      </c>
      <c r="Z210" s="24">
        <f>ROUND(IF(AQ210="5",BJ210,0),2)</f>
        <v>0</v>
      </c>
      <c r="AB210" s="24">
        <f>ROUND(IF(AQ210="1",BH210,0),2)</f>
        <v>0</v>
      </c>
      <c r="AC210" s="24">
        <f>ROUND(IF(AQ210="1",BI210,0),2)</f>
        <v>0</v>
      </c>
      <c r="AD210" s="24">
        <f>ROUND(IF(AQ210="7",BH210,0),2)</f>
        <v>0</v>
      </c>
      <c r="AE210" s="24">
        <f>ROUND(IF(AQ210="7",BI210,0),2)</f>
        <v>0</v>
      </c>
      <c r="AF210" s="24">
        <f>ROUND(IF(AQ210="2",BH210,0),2)</f>
        <v>0</v>
      </c>
      <c r="AG210" s="24">
        <f>ROUND(IF(AQ210="2",BI210,0),2)</f>
        <v>0</v>
      </c>
      <c r="AH210" s="24">
        <f>ROUND(IF(AQ210="0",BJ210,0),2)</f>
        <v>0</v>
      </c>
      <c r="AI210" s="10" t="s">
        <v>48</v>
      </c>
      <c r="AJ210" s="24">
        <f>IF(AN210=0,J210,0)</f>
        <v>0</v>
      </c>
      <c r="AK210" s="24">
        <f>IF(AN210=12,J210,0)</f>
        <v>0</v>
      </c>
      <c r="AL210" s="24">
        <f>IF(AN210=21,J210,0)</f>
        <v>0</v>
      </c>
      <c r="AN210" s="24">
        <v>21</v>
      </c>
      <c r="AO210" s="24">
        <f>G210*0.082152956</f>
        <v>0</v>
      </c>
      <c r="AP210" s="24">
        <f>G210*(1-0.082152956)</f>
        <v>0</v>
      </c>
      <c r="AQ210" s="26" t="s">
        <v>51</v>
      </c>
      <c r="AV210" s="24">
        <f>ROUND(AW210+AX210,2)</f>
        <v>0</v>
      </c>
      <c r="AW210" s="24">
        <f>ROUND(F210*AO210,2)</f>
        <v>0</v>
      </c>
      <c r="AX210" s="24">
        <f>ROUND(F210*AP210,2)</f>
        <v>0</v>
      </c>
      <c r="AY210" s="26" t="s">
        <v>469</v>
      </c>
      <c r="AZ210" s="26" t="s">
        <v>469</v>
      </c>
      <c r="BA210" s="10" t="s">
        <v>57</v>
      </c>
      <c r="BC210" s="24">
        <f>AW210+AX210</f>
        <v>0</v>
      </c>
      <c r="BD210" s="24">
        <f>G210/(100-BE210)*100</f>
        <v>0</v>
      </c>
      <c r="BE210" s="24">
        <v>0</v>
      </c>
      <c r="BF210" s="24">
        <f>210</f>
        <v>210</v>
      </c>
      <c r="BH210" s="24">
        <f>F210*AO210</f>
        <v>0</v>
      </c>
      <c r="BI210" s="24">
        <f>F210*AP210</f>
        <v>0</v>
      </c>
      <c r="BJ210" s="24">
        <f>F210*G210</f>
        <v>0</v>
      </c>
      <c r="BK210" s="26" t="s">
        <v>58</v>
      </c>
      <c r="BL210" s="24">
        <v>96</v>
      </c>
      <c r="BW210" s="24">
        <v>21</v>
      </c>
      <c r="BX210" s="4" t="s">
        <v>478</v>
      </c>
    </row>
    <row r="211" spans="1:76" x14ac:dyDescent="0.25">
      <c r="A211" s="27"/>
      <c r="C211" s="28" t="s">
        <v>479</v>
      </c>
      <c r="D211" s="28" t="s">
        <v>476</v>
      </c>
      <c r="F211" s="29">
        <v>6.43</v>
      </c>
      <c r="K211" s="30"/>
    </row>
    <row r="212" spans="1:76" x14ac:dyDescent="0.25">
      <c r="A212" s="2" t="s">
        <v>480</v>
      </c>
      <c r="B212" s="3" t="s">
        <v>481</v>
      </c>
      <c r="C212" s="109" t="s">
        <v>482</v>
      </c>
      <c r="D212" s="106"/>
      <c r="E212" s="3" t="s">
        <v>54</v>
      </c>
      <c r="F212" s="24">
        <v>1.01</v>
      </c>
      <c r="G212" s="24">
        <v>0</v>
      </c>
      <c r="H212" s="24">
        <f>ROUND(F212*AO212,2)</f>
        <v>0</v>
      </c>
      <c r="I212" s="24">
        <f>ROUND(F212*AP212,2)</f>
        <v>0</v>
      </c>
      <c r="J212" s="24">
        <f>ROUND(F212*G212,2)</f>
        <v>0</v>
      </c>
      <c r="K212" s="25" t="s">
        <v>55</v>
      </c>
      <c r="Z212" s="24">
        <f>ROUND(IF(AQ212="5",BJ212,0),2)</f>
        <v>0</v>
      </c>
      <c r="AB212" s="24">
        <f>ROUND(IF(AQ212="1",BH212,0),2)</f>
        <v>0</v>
      </c>
      <c r="AC212" s="24">
        <f>ROUND(IF(AQ212="1",BI212,0),2)</f>
        <v>0</v>
      </c>
      <c r="AD212" s="24">
        <f>ROUND(IF(AQ212="7",BH212,0),2)</f>
        <v>0</v>
      </c>
      <c r="AE212" s="24">
        <f>ROUND(IF(AQ212="7",BI212,0),2)</f>
        <v>0</v>
      </c>
      <c r="AF212" s="24">
        <f>ROUND(IF(AQ212="2",BH212,0),2)</f>
        <v>0</v>
      </c>
      <c r="AG212" s="24">
        <f>ROUND(IF(AQ212="2",BI212,0),2)</f>
        <v>0</v>
      </c>
      <c r="AH212" s="24">
        <f>ROUND(IF(AQ212="0",BJ212,0),2)</f>
        <v>0</v>
      </c>
      <c r="AI212" s="10" t="s">
        <v>48</v>
      </c>
      <c r="AJ212" s="24">
        <f>IF(AN212=0,J212,0)</f>
        <v>0</v>
      </c>
      <c r="AK212" s="24">
        <f>IF(AN212=12,J212,0)</f>
        <v>0</v>
      </c>
      <c r="AL212" s="24">
        <f>IF(AN212=21,J212,0)</f>
        <v>0</v>
      </c>
      <c r="AN212" s="24">
        <v>21</v>
      </c>
      <c r="AO212" s="24">
        <f>G212*0.031706742</f>
        <v>0</v>
      </c>
      <c r="AP212" s="24">
        <f>G212*(1-0.031706742)</f>
        <v>0</v>
      </c>
      <c r="AQ212" s="26" t="s">
        <v>51</v>
      </c>
      <c r="AV212" s="24">
        <f>ROUND(AW212+AX212,2)</f>
        <v>0</v>
      </c>
      <c r="AW212" s="24">
        <f>ROUND(F212*AO212,2)</f>
        <v>0</v>
      </c>
      <c r="AX212" s="24">
        <f>ROUND(F212*AP212,2)</f>
        <v>0</v>
      </c>
      <c r="AY212" s="26" t="s">
        <v>469</v>
      </c>
      <c r="AZ212" s="26" t="s">
        <v>469</v>
      </c>
      <c r="BA212" s="10" t="s">
        <v>57</v>
      </c>
      <c r="BC212" s="24">
        <f>AW212+AX212</f>
        <v>0</v>
      </c>
      <c r="BD212" s="24">
        <f>G212/(100-BE212)*100</f>
        <v>0</v>
      </c>
      <c r="BE212" s="24">
        <v>0</v>
      </c>
      <c r="BF212" s="24">
        <f>212</f>
        <v>212</v>
      </c>
      <c r="BH212" s="24">
        <f>F212*AO212</f>
        <v>0</v>
      </c>
      <c r="BI212" s="24">
        <f>F212*AP212</f>
        <v>0</v>
      </c>
      <c r="BJ212" s="24">
        <f>F212*G212</f>
        <v>0</v>
      </c>
      <c r="BK212" s="26" t="s">
        <v>58</v>
      </c>
      <c r="BL212" s="24">
        <v>96</v>
      </c>
      <c r="BW212" s="24">
        <v>21</v>
      </c>
      <c r="BX212" s="4" t="s">
        <v>482</v>
      </c>
    </row>
    <row r="213" spans="1:76" x14ac:dyDescent="0.25">
      <c r="A213" s="27"/>
      <c r="C213" s="28" t="s">
        <v>483</v>
      </c>
      <c r="D213" s="28" t="s">
        <v>476</v>
      </c>
      <c r="F213" s="29">
        <v>1.01</v>
      </c>
      <c r="K213" s="30"/>
    </row>
    <row r="214" spans="1:76" x14ac:dyDescent="0.25">
      <c r="A214" s="2" t="s">
        <v>484</v>
      </c>
      <c r="B214" s="3" t="s">
        <v>485</v>
      </c>
      <c r="C214" s="109" t="s">
        <v>486</v>
      </c>
      <c r="D214" s="106"/>
      <c r="E214" s="3" t="s">
        <v>54</v>
      </c>
      <c r="F214" s="24">
        <v>8.39</v>
      </c>
      <c r="G214" s="24">
        <v>0</v>
      </c>
      <c r="H214" s="24">
        <f>ROUND(F214*AO214,2)</f>
        <v>0</v>
      </c>
      <c r="I214" s="24">
        <f>ROUND(F214*AP214,2)</f>
        <v>0</v>
      </c>
      <c r="J214" s="24">
        <f>ROUND(F214*G214,2)</f>
        <v>0</v>
      </c>
      <c r="K214" s="25" t="s">
        <v>55</v>
      </c>
      <c r="Z214" s="24">
        <f>ROUND(IF(AQ214="5",BJ214,0),2)</f>
        <v>0</v>
      </c>
      <c r="AB214" s="24">
        <f>ROUND(IF(AQ214="1",BH214,0),2)</f>
        <v>0</v>
      </c>
      <c r="AC214" s="24">
        <f>ROUND(IF(AQ214="1",BI214,0),2)</f>
        <v>0</v>
      </c>
      <c r="AD214" s="24">
        <f>ROUND(IF(AQ214="7",BH214,0),2)</f>
        <v>0</v>
      </c>
      <c r="AE214" s="24">
        <f>ROUND(IF(AQ214="7",BI214,0),2)</f>
        <v>0</v>
      </c>
      <c r="AF214" s="24">
        <f>ROUND(IF(AQ214="2",BH214,0),2)</f>
        <v>0</v>
      </c>
      <c r="AG214" s="24">
        <f>ROUND(IF(AQ214="2",BI214,0),2)</f>
        <v>0</v>
      </c>
      <c r="AH214" s="24">
        <f>ROUND(IF(AQ214="0",BJ214,0),2)</f>
        <v>0</v>
      </c>
      <c r="AI214" s="10" t="s">
        <v>48</v>
      </c>
      <c r="AJ214" s="24">
        <f>IF(AN214=0,J214,0)</f>
        <v>0</v>
      </c>
      <c r="AK214" s="24">
        <f>IF(AN214=12,J214,0)</f>
        <v>0</v>
      </c>
      <c r="AL214" s="24">
        <f>IF(AN214=21,J214,0)</f>
        <v>0</v>
      </c>
      <c r="AN214" s="24">
        <v>21</v>
      </c>
      <c r="AO214" s="24">
        <f>G214*0.037082041</f>
        <v>0</v>
      </c>
      <c r="AP214" s="24">
        <f>G214*(1-0.037082041)</f>
        <v>0</v>
      </c>
      <c r="AQ214" s="26" t="s">
        <v>51</v>
      </c>
      <c r="AV214" s="24">
        <f>ROUND(AW214+AX214,2)</f>
        <v>0</v>
      </c>
      <c r="AW214" s="24">
        <f>ROUND(F214*AO214,2)</f>
        <v>0</v>
      </c>
      <c r="AX214" s="24">
        <f>ROUND(F214*AP214,2)</f>
        <v>0</v>
      </c>
      <c r="AY214" s="26" t="s">
        <v>469</v>
      </c>
      <c r="AZ214" s="26" t="s">
        <v>469</v>
      </c>
      <c r="BA214" s="10" t="s">
        <v>57</v>
      </c>
      <c r="BC214" s="24">
        <f>AW214+AX214</f>
        <v>0</v>
      </c>
      <c r="BD214" s="24">
        <f>G214/(100-BE214)*100</f>
        <v>0</v>
      </c>
      <c r="BE214" s="24">
        <v>0</v>
      </c>
      <c r="BF214" s="24">
        <f>214</f>
        <v>214</v>
      </c>
      <c r="BH214" s="24">
        <f>F214*AO214</f>
        <v>0</v>
      </c>
      <c r="BI214" s="24">
        <f>F214*AP214</f>
        <v>0</v>
      </c>
      <c r="BJ214" s="24">
        <f>F214*G214</f>
        <v>0</v>
      </c>
      <c r="BK214" s="26" t="s">
        <v>58</v>
      </c>
      <c r="BL214" s="24">
        <v>96</v>
      </c>
      <c r="BW214" s="24">
        <v>21</v>
      </c>
      <c r="BX214" s="4" t="s">
        <v>486</v>
      </c>
    </row>
    <row r="215" spans="1:76" x14ac:dyDescent="0.25">
      <c r="A215" s="27"/>
      <c r="C215" s="28" t="s">
        <v>487</v>
      </c>
      <c r="D215" s="28" t="s">
        <v>488</v>
      </c>
      <c r="F215" s="29">
        <v>8.39</v>
      </c>
      <c r="K215" s="30"/>
    </row>
    <row r="216" spans="1:76" x14ac:dyDescent="0.25">
      <c r="A216" s="2" t="s">
        <v>406</v>
      </c>
      <c r="B216" s="3" t="s">
        <v>489</v>
      </c>
      <c r="C216" s="109" t="s">
        <v>490</v>
      </c>
      <c r="D216" s="106"/>
      <c r="E216" s="3" t="s">
        <v>104</v>
      </c>
      <c r="F216" s="24">
        <v>0.77</v>
      </c>
      <c r="G216" s="24">
        <v>0</v>
      </c>
      <c r="H216" s="24">
        <f>ROUND(F216*AO216,2)</f>
        <v>0</v>
      </c>
      <c r="I216" s="24">
        <f>ROUND(F216*AP216,2)</f>
        <v>0</v>
      </c>
      <c r="J216" s="24">
        <f>ROUND(F216*G216,2)</f>
        <v>0</v>
      </c>
      <c r="K216" s="25" t="s">
        <v>55</v>
      </c>
      <c r="Z216" s="24">
        <f>ROUND(IF(AQ216="5",BJ216,0),2)</f>
        <v>0</v>
      </c>
      <c r="AB216" s="24">
        <f>ROUND(IF(AQ216="1",BH216,0),2)</f>
        <v>0</v>
      </c>
      <c r="AC216" s="24">
        <f>ROUND(IF(AQ216="1",BI216,0),2)</f>
        <v>0</v>
      </c>
      <c r="AD216" s="24">
        <f>ROUND(IF(AQ216="7",BH216,0),2)</f>
        <v>0</v>
      </c>
      <c r="AE216" s="24">
        <f>ROUND(IF(AQ216="7",BI216,0),2)</f>
        <v>0</v>
      </c>
      <c r="AF216" s="24">
        <f>ROUND(IF(AQ216="2",BH216,0),2)</f>
        <v>0</v>
      </c>
      <c r="AG216" s="24">
        <f>ROUND(IF(AQ216="2",BI216,0),2)</f>
        <v>0</v>
      </c>
      <c r="AH216" s="24">
        <f>ROUND(IF(AQ216="0",BJ216,0),2)</f>
        <v>0</v>
      </c>
      <c r="AI216" s="10" t="s">
        <v>48</v>
      </c>
      <c r="AJ216" s="24">
        <f>IF(AN216=0,J216,0)</f>
        <v>0</v>
      </c>
      <c r="AK216" s="24">
        <f>IF(AN216=12,J216,0)</f>
        <v>0</v>
      </c>
      <c r="AL216" s="24">
        <f>IF(AN216=21,J216,0)</f>
        <v>0</v>
      </c>
      <c r="AN216" s="24">
        <v>21</v>
      </c>
      <c r="AO216" s="24">
        <f>G216*0.050447295</f>
        <v>0</v>
      </c>
      <c r="AP216" s="24">
        <f>G216*(1-0.050447295)</f>
        <v>0</v>
      </c>
      <c r="AQ216" s="26" t="s">
        <v>51</v>
      </c>
      <c r="AV216" s="24">
        <f>ROUND(AW216+AX216,2)</f>
        <v>0</v>
      </c>
      <c r="AW216" s="24">
        <f>ROUND(F216*AO216,2)</f>
        <v>0</v>
      </c>
      <c r="AX216" s="24">
        <f>ROUND(F216*AP216,2)</f>
        <v>0</v>
      </c>
      <c r="AY216" s="26" t="s">
        <v>469</v>
      </c>
      <c r="AZ216" s="26" t="s">
        <v>469</v>
      </c>
      <c r="BA216" s="10" t="s">
        <v>57</v>
      </c>
      <c r="BC216" s="24">
        <f>AW216+AX216</f>
        <v>0</v>
      </c>
      <c r="BD216" s="24">
        <f>G216/(100-BE216)*100</f>
        <v>0</v>
      </c>
      <c r="BE216" s="24">
        <v>0</v>
      </c>
      <c r="BF216" s="24">
        <f>216</f>
        <v>216</v>
      </c>
      <c r="BH216" s="24">
        <f>F216*AO216</f>
        <v>0</v>
      </c>
      <c r="BI216" s="24">
        <f>F216*AP216</f>
        <v>0</v>
      </c>
      <c r="BJ216" s="24">
        <f>F216*G216</f>
        <v>0</v>
      </c>
      <c r="BK216" s="26" t="s">
        <v>58</v>
      </c>
      <c r="BL216" s="24">
        <v>96</v>
      </c>
      <c r="BW216" s="24">
        <v>21</v>
      </c>
      <c r="BX216" s="4" t="s">
        <v>490</v>
      </c>
    </row>
    <row r="217" spans="1:76" x14ac:dyDescent="0.25">
      <c r="A217" s="27"/>
      <c r="C217" s="28" t="s">
        <v>491</v>
      </c>
      <c r="D217" s="28" t="s">
        <v>492</v>
      </c>
      <c r="F217" s="29">
        <v>0.77</v>
      </c>
      <c r="K217" s="30"/>
    </row>
    <row r="218" spans="1:76" x14ac:dyDescent="0.25">
      <c r="A218" s="2" t="s">
        <v>416</v>
      </c>
      <c r="B218" s="3" t="s">
        <v>493</v>
      </c>
      <c r="C218" s="109" t="s">
        <v>494</v>
      </c>
      <c r="D218" s="106"/>
      <c r="E218" s="3" t="s">
        <v>54</v>
      </c>
      <c r="F218" s="24">
        <v>2.52</v>
      </c>
      <c r="G218" s="24">
        <v>0</v>
      </c>
      <c r="H218" s="24">
        <f>ROUND(F218*AO218,2)</f>
        <v>0</v>
      </c>
      <c r="I218" s="24">
        <f>ROUND(F218*AP218,2)</f>
        <v>0</v>
      </c>
      <c r="J218" s="24">
        <f>ROUND(F218*G218,2)</f>
        <v>0</v>
      </c>
      <c r="K218" s="25" t="s">
        <v>55</v>
      </c>
      <c r="Z218" s="24">
        <f>ROUND(IF(AQ218="5",BJ218,0),2)</f>
        <v>0</v>
      </c>
      <c r="AB218" s="24">
        <f>ROUND(IF(AQ218="1",BH218,0),2)</f>
        <v>0</v>
      </c>
      <c r="AC218" s="24">
        <f>ROUND(IF(AQ218="1",BI218,0),2)</f>
        <v>0</v>
      </c>
      <c r="AD218" s="24">
        <f>ROUND(IF(AQ218="7",BH218,0),2)</f>
        <v>0</v>
      </c>
      <c r="AE218" s="24">
        <f>ROUND(IF(AQ218="7",BI218,0),2)</f>
        <v>0</v>
      </c>
      <c r="AF218" s="24">
        <f>ROUND(IF(AQ218="2",BH218,0),2)</f>
        <v>0</v>
      </c>
      <c r="AG218" s="24">
        <f>ROUND(IF(AQ218="2",BI218,0),2)</f>
        <v>0</v>
      </c>
      <c r="AH218" s="24">
        <f>ROUND(IF(AQ218="0",BJ218,0),2)</f>
        <v>0</v>
      </c>
      <c r="AI218" s="10" t="s">
        <v>48</v>
      </c>
      <c r="AJ218" s="24">
        <f>IF(AN218=0,J218,0)</f>
        <v>0</v>
      </c>
      <c r="AK218" s="24">
        <f>IF(AN218=12,J218,0)</f>
        <v>0</v>
      </c>
      <c r="AL218" s="24">
        <f>IF(AN218=21,J218,0)</f>
        <v>0</v>
      </c>
      <c r="AN218" s="24">
        <v>21</v>
      </c>
      <c r="AO218" s="24">
        <f>G218*0</f>
        <v>0</v>
      </c>
      <c r="AP218" s="24">
        <f>G218*(1-0)</f>
        <v>0</v>
      </c>
      <c r="AQ218" s="26" t="s">
        <v>51</v>
      </c>
      <c r="AV218" s="24">
        <f>ROUND(AW218+AX218,2)</f>
        <v>0</v>
      </c>
      <c r="AW218" s="24">
        <f>ROUND(F218*AO218,2)</f>
        <v>0</v>
      </c>
      <c r="AX218" s="24">
        <f>ROUND(F218*AP218,2)</f>
        <v>0</v>
      </c>
      <c r="AY218" s="26" t="s">
        <v>469</v>
      </c>
      <c r="AZ218" s="26" t="s">
        <v>469</v>
      </c>
      <c r="BA218" s="10" t="s">
        <v>57</v>
      </c>
      <c r="BC218" s="24">
        <f>AW218+AX218</f>
        <v>0</v>
      </c>
      <c r="BD218" s="24">
        <f>G218/(100-BE218)*100</f>
        <v>0</v>
      </c>
      <c r="BE218" s="24">
        <v>0</v>
      </c>
      <c r="BF218" s="24">
        <f>218</f>
        <v>218</v>
      </c>
      <c r="BH218" s="24">
        <f>F218*AO218</f>
        <v>0</v>
      </c>
      <c r="BI218" s="24">
        <f>F218*AP218</f>
        <v>0</v>
      </c>
      <c r="BJ218" s="24">
        <f>F218*G218</f>
        <v>0</v>
      </c>
      <c r="BK218" s="26" t="s">
        <v>58</v>
      </c>
      <c r="BL218" s="24">
        <v>96</v>
      </c>
      <c r="BW218" s="24">
        <v>21</v>
      </c>
      <c r="BX218" s="4" t="s">
        <v>494</v>
      </c>
    </row>
    <row r="219" spans="1:76" x14ac:dyDescent="0.25">
      <c r="A219" s="27"/>
      <c r="C219" s="28" t="s">
        <v>495</v>
      </c>
      <c r="D219" s="28" t="s">
        <v>496</v>
      </c>
      <c r="F219" s="29">
        <v>2.52</v>
      </c>
      <c r="K219" s="30"/>
    </row>
    <row r="220" spans="1:76" x14ac:dyDescent="0.25">
      <c r="A220" s="2" t="s">
        <v>434</v>
      </c>
      <c r="B220" s="3" t="s">
        <v>497</v>
      </c>
      <c r="C220" s="109" t="s">
        <v>498</v>
      </c>
      <c r="D220" s="106"/>
      <c r="E220" s="3" t="s">
        <v>54</v>
      </c>
      <c r="F220" s="24">
        <v>7.28</v>
      </c>
      <c r="G220" s="24">
        <v>0</v>
      </c>
      <c r="H220" s="24">
        <f>ROUND(F220*AO220,2)</f>
        <v>0</v>
      </c>
      <c r="I220" s="24">
        <f>ROUND(F220*AP220,2)</f>
        <v>0</v>
      </c>
      <c r="J220" s="24">
        <f>ROUND(F220*G220,2)</f>
        <v>0</v>
      </c>
      <c r="K220" s="25" t="s">
        <v>55</v>
      </c>
      <c r="Z220" s="24">
        <f>ROUND(IF(AQ220="5",BJ220,0),2)</f>
        <v>0</v>
      </c>
      <c r="AB220" s="24">
        <f>ROUND(IF(AQ220="1",BH220,0),2)</f>
        <v>0</v>
      </c>
      <c r="AC220" s="24">
        <f>ROUND(IF(AQ220="1",BI220,0),2)</f>
        <v>0</v>
      </c>
      <c r="AD220" s="24">
        <f>ROUND(IF(AQ220="7",BH220,0),2)</f>
        <v>0</v>
      </c>
      <c r="AE220" s="24">
        <f>ROUND(IF(AQ220="7",BI220,0),2)</f>
        <v>0</v>
      </c>
      <c r="AF220" s="24">
        <f>ROUND(IF(AQ220="2",BH220,0),2)</f>
        <v>0</v>
      </c>
      <c r="AG220" s="24">
        <f>ROUND(IF(AQ220="2",BI220,0),2)</f>
        <v>0</v>
      </c>
      <c r="AH220" s="24">
        <f>ROUND(IF(AQ220="0",BJ220,0),2)</f>
        <v>0</v>
      </c>
      <c r="AI220" s="10" t="s">
        <v>48</v>
      </c>
      <c r="AJ220" s="24">
        <f>IF(AN220=0,J220,0)</f>
        <v>0</v>
      </c>
      <c r="AK220" s="24">
        <f>IF(AN220=12,J220,0)</f>
        <v>0</v>
      </c>
      <c r="AL220" s="24">
        <f>IF(AN220=21,J220,0)</f>
        <v>0</v>
      </c>
      <c r="AN220" s="24">
        <v>21</v>
      </c>
      <c r="AO220" s="24">
        <f>G220*0</f>
        <v>0</v>
      </c>
      <c r="AP220" s="24">
        <f>G220*(1-0)</f>
        <v>0</v>
      </c>
      <c r="AQ220" s="26" t="s">
        <v>51</v>
      </c>
      <c r="AV220" s="24">
        <f>ROUND(AW220+AX220,2)</f>
        <v>0</v>
      </c>
      <c r="AW220" s="24">
        <f>ROUND(F220*AO220,2)</f>
        <v>0</v>
      </c>
      <c r="AX220" s="24">
        <f>ROUND(F220*AP220,2)</f>
        <v>0</v>
      </c>
      <c r="AY220" s="26" t="s">
        <v>469</v>
      </c>
      <c r="AZ220" s="26" t="s">
        <v>469</v>
      </c>
      <c r="BA220" s="10" t="s">
        <v>57</v>
      </c>
      <c r="BC220" s="24">
        <f>AW220+AX220</f>
        <v>0</v>
      </c>
      <c r="BD220" s="24">
        <f>G220/(100-BE220)*100</f>
        <v>0</v>
      </c>
      <c r="BE220" s="24">
        <v>0</v>
      </c>
      <c r="BF220" s="24">
        <f>220</f>
        <v>220</v>
      </c>
      <c r="BH220" s="24">
        <f>F220*AO220</f>
        <v>0</v>
      </c>
      <c r="BI220" s="24">
        <f>F220*AP220</f>
        <v>0</v>
      </c>
      <c r="BJ220" s="24">
        <f>F220*G220</f>
        <v>0</v>
      </c>
      <c r="BK220" s="26" t="s">
        <v>58</v>
      </c>
      <c r="BL220" s="24">
        <v>96</v>
      </c>
      <c r="BW220" s="24">
        <v>21</v>
      </c>
      <c r="BX220" s="4" t="s">
        <v>498</v>
      </c>
    </row>
    <row r="221" spans="1:76" x14ac:dyDescent="0.25">
      <c r="A221" s="27"/>
      <c r="C221" s="28" t="s">
        <v>499</v>
      </c>
      <c r="D221" s="28" t="s">
        <v>500</v>
      </c>
      <c r="F221" s="29">
        <v>7.28</v>
      </c>
      <c r="K221" s="30"/>
    </row>
    <row r="222" spans="1:76" x14ac:dyDescent="0.25">
      <c r="A222" s="2" t="s">
        <v>464</v>
      </c>
      <c r="B222" s="3" t="s">
        <v>501</v>
      </c>
      <c r="C222" s="109" t="s">
        <v>502</v>
      </c>
      <c r="D222" s="106"/>
      <c r="E222" s="3" t="s">
        <v>54</v>
      </c>
      <c r="F222" s="24">
        <v>1.68</v>
      </c>
      <c r="G222" s="24">
        <v>0</v>
      </c>
      <c r="H222" s="24">
        <f>ROUND(F222*AO222,2)</f>
        <v>0</v>
      </c>
      <c r="I222" s="24">
        <f>ROUND(F222*AP222,2)</f>
        <v>0</v>
      </c>
      <c r="J222" s="24">
        <f>ROUND(F222*G222,2)</f>
        <v>0</v>
      </c>
      <c r="K222" s="25" t="s">
        <v>55</v>
      </c>
      <c r="Z222" s="24">
        <f>ROUND(IF(AQ222="5",BJ222,0),2)</f>
        <v>0</v>
      </c>
      <c r="AB222" s="24">
        <f>ROUND(IF(AQ222="1",BH222,0),2)</f>
        <v>0</v>
      </c>
      <c r="AC222" s="24">
        <f>ROUND(IF(AQ222="1",BI222,0),2)</f>
        <v>0</v>
      </c>
      <c r="AD222" s="24">
        <f>ROUND(IF(AQ222="7",BH222,0),2)</f>
        <v>0</v>
      </c>
      <c r="AE222" s="24">
        <f>ROUND(IF(AQ222="7",BI222,0),2)</f>
        <v>0</v>
      </c>
      <c r="AF222" s="24">
        <f>ROUND(IF(AQ222="2",BH222,0),2)</f>
        <v>0</v>
      </c>
      <c r="AG222" s="24">
        <f>ROUND(IF(AQ222="2",BI222,0),2)</f>
        <v>0</v>
      </c>
      <c r="AH222" s="24">
        <f>ROUND(IF(AQ222="0",BJ222,0),2)</f>
        <v>0</v>
      </c>
      <c r="AI222" s="10" t="s">
        <v>48</v>
      </c>
      <c r="AJ222" s="24">
        <f>IF(AN222=0,J222,0)</f>
        <v>0</v>
      </c>
      <c r="AK222" s="24">
        <f>IF(AN222=12,J222,0)</f>
        <v>0</v>
      </c>
      <c r="AL222" s="24">
        <f>IF(AN222=21,J222,0)</f>
        <v>0</v>
      </c>
      <c r="AN222" s="24">
        <v>21</v>
      </c>
      <c r="AO222" s="24">
        <f>G222*0</f>
        <v>0</v>
      </c>
      <c r="AP222" s="24">
        <f>G222*(1-0)</f>
        <v>0</v>
      </c>
      <c r="AQ222" s="26" t="s">
        <v>51</v>
      </c>
      <c r="AV222" s="24">
        <f>ROUND(AW222+AX222,2)</f>
        <v>0</v>
      </c>
      <c r="AW222" s="24">
        <f>ROUND(F222*AO222,2)</f>
        <v>0</v>
      </c>
      <c r="AX222" s="24">
        <f>ROUND(F222*AP222,2)</f>
        <v>0</v>
      </c>
      <c r="AY222" s="26" t="s">
        <v>469</v>
      </c>
      <c r="AZ222" s="26" t="s">
        <v>469</v>
      </c>
      <c r="BA222" s="10" t="s">
        <v>57</v>
      </c>
      <c r="BC222" s="24">
        <f>AW222+AX222</f>
        <v>0</v>
      </c>
      <c r="BD222" s="24">
        <f>G222/(100-BE222)*100</f>
        <v>0</v>
      </c>
      <c r="BE222" s="24">
        <v>0</v>
      </c>
      <c r="BF222" s="24">
        <f>222</f>
        <v>222</v>
      </c>
      <c r="BH222" s="24">
        <f>F222*AO222</f>
        <v>0</v>
      </c>
      <c r="BI222" s="24">
        <f>F222*AP222</f>
        <v>0</v>
      </c>
      <c r="BJ222" s="24">
        <f>F222*G222</f>
        <v>0</v>
      </c>
      <c r="BK222" s="26" t="s">
        <v>58</v>
      </c>
      <c r="BL222" s="24">
        <v>96</v>
      </c>
      <c r="BW222" s="24">
        <v>21</v>
      </c>
      <c r="BX222" s="4" t="s">
        <v>502</v>
      </c>
    </row>
    <row r="223" spans="1:76" x14ac:dyDescent="0.25">
      <c r="A223" s="27"/>
      <c r="C223" s="28" t="s">
        <v>503</v>
      </c>
      <c r="D223" s="28" t="s">
        <v>496</v>
      </c>
      <c r="F223" s="29">
        <v>1.68</v>
      </c>
      <c r="K223" s="30"/>
    </row>
    <row r="224" spans="1:76" x14ac:dyDescent="0.25">
      <c r="A224" s="2" t="s">
        <v>504</v>
      </c>
      <c r="B224" s="3" t="s">
        <v>505</v>
      </c>
      <c r="C224" s="109" t="s">
        <v>506</v>
      </c>
      <c r="D224" s="106"/>
      <c r="E224" s="3" t="s">
        <v>152</v>
      </c>
      <c r="F224" s="24">
        <v>10</v>
      </c>
      <c r="G224" s="24">
        <v>0</v>
      </c>
      <c r="H224" s="24">
        <f>ROUND(F224*AO224,2)</f>
        <v>0</v>
      </c>
      <c r="I224" s="24">
        <f>ROUND(F224*AP224,2)</f>
        <v>0</v>
      </c>
      <c r="J224" s="24">
        <f>ROUND(F224*G224,2)</f>
        <v>0</v>
      </c>
      <c r="K224" s="25" t="s">
        <v>55</v>
      </c>
      <c r="Z224" s="24">
        <f>ROUND(IF(AQ224="5",BJ224,0),2)</f>
        <v>0</v>
      </c>
      <c r="AB224" s="24">
        <f>ROUND(IF(AQ224="1",BH224,0),2)</f>
        <v>0</v>
      </c>
      <c r="AC224" s="24">
        <f>ROUND(IF(AQ224="1",BI224,0),2)</f>
        <v>0</v>
      </c>
      <c r="AD224" s="24">
        <f>ROUND(IF(AQ224="7",BH224,0),2)</f>
        <v>0</v>
      </c>
      <c r="AE224" s="24">
        <f>ROUND(IF(AQ224="7",BI224,0),2)</f>
        <v>0</v>
      </c>
      <c r="AF224" s="24">
        <f>ROUND(IF(AQ224="2",BH224,0),2)</f>
        <v>0</v>
      </c>
      <c r="AG224" s="24">
        <f>ROUND(IF(AQ224="2",BI224,0),2)</f>
        <v>0</v>
      </c>
      <c r="AH224" s="24">
        <f>ROUND(IF(AQ224="0",BJ224,0),2)</f>
        <v>0</v>
      </c>
      <c r="AI224" s="10" t="s">
        <v>48</v>
      </c>
      <c r="AJ224" s="24">
        <f>IF(AN224=0,J224,0)</f>
        <v>0</v>
      </c>
      <c r="AK224" s="24">
        <f>IF(AN224=12,J224,0)</f>
        <v>0</v>
      </c>
      <c r="AL224" s="24">
        <f>IF(AN224=21,J224,0)</f>
        <v>0</v>
      </c>
      <c r="AN224" s="24">
        <v>21</v>
      </c>
      <c r="AO224" s="24">
        <f>G224*0</f>
        <v>0</v>
      </c>
      <c r="AP224" s="24">
        <f>G224*(1-0)</f>
        <v>0</v>
      </c>
      <c r="AQ224" s="26" t="s">
        <v>51</v>
      </c>
      <c r="AV224" s="24">
        <f>ROUND(AW224+AX224,2)</f>
        <v>0</v>
      </c>
      <c r="AW224" s="24">
        <f>ROUND(F224*AO224,2)</f>
        <v>0</v>
      </c>
      <c r="AX224" s="24">
        <f>ROUND(F224*AP224,2)</f>
        <v>0</v>
      </c>
      <c r="AY224" s="26" t="s">
        <v>469</v>
      </c>
      <c r="AZ224" s="26" t="s">
        <v>469</v>
      </c>
      <c r="BA224" s="10" t="s">
        <v>57</v>
      </c>
      <c r="BC224" s="24">
        <f>AW224+AX224</f>
        <v>0</v>
      </c>
      <c r="BD224" s="24">
        <f>G224/(100-BE224)*100</f>
        <v>0</v>
      </c>
      <c r="BE224" s="24">
        <v>0</v>
      </c>
      <c r="BF224" s="24">
        <f>224</f>
        <v>224</v>
      </c>
      <c r="BH224" s="24">
        <f>F224*AO224</f>
        <v>0</v>
      </c>
      <c r="BI224" s="24">
        <f>F224*AP224</f>
        <v>0</v>
      </c>
      <c r="BJ224" s="24">
        <f>F224*G224</f>
        <v>0</v>
      </c>
      <c r="BK224" s="26" t="s">
        <v>58</v>
      </c>
      <c r="BL224" s="24">
        <v>96</v>
      </c>
      <c r="BW224" s="24">
        <v>21</v>
      </c>
      <c r="BX224" s="4" t="s">
        <v>506</v>
      </c>
    </row>
    <row r="225" spans="1:76" x14ac:dyDescent="0.25">
      <c r="A225" s="27"/>
      <c r="C225" s="28" t="s">
        <v>107</v>
      </c>
      <c r="D225" s="28" t="s">
        <v>492</v>
      </c>
      <c r="F225" s="29">
        <v>10</v>
      </c>
      <c r="K225" s="30"/>
    </row>
    <row r="226" spans="1:76" x14ac:dyDescent="0.25">
      <c r="A226" s="2" t="s">
        <v>507</v>
      </c>
      <c r="B226" s="3" t="s">
        <v>508</v>
      </c>
      <c r="C226" s="109" t="s">
        <v>509</v>
      </c>
      <c r="D226" s="106"/>
      <c r="E226" s="3" t="s">
        <v>152</v>
      </c>
      <c r="F226" s="24">
        <v>50</v>
      </c>
      <c r="G226" s="24">
        <v>0</v>
      </c>
      <c r="H226" s="24">
        <f>ROUND(F226*AO226,2)</f>
        <v>0</v>
      </c>
      <c r="I226" s="24">
        <f>ROUND(F226*AP226,2)</f>
        <v>0</v>
      </c>
      <c r="J226" s="24">
        <f>ROUND(F226*G226,2)</f>
        <v>0</v>
      </c>
      <c r="K226" s="25" t="s">
        <v>55</v>
      </c>
      <c r="Z226" s="24">
        <f>ROUND(IF(AQ226="5",BJ226,0),2)</f>
        <v>0</v>
      </c>
      <c r="AB226" s="24">
        <f>ROUND(IF(AQ226="1",BH226,0),2)</f>
        <v>0</v>
      </c>
      <c r="AC226" s="24">
        <f>ROUND(IF(AQ226="1",BI226,0),2)</f>
        <v>0</v>
      </c>
      <c r="AD226" s="24">
        <f>ROUND(IF(AQ226="7",BH226,0),2)</f>
        <v>0</v>
      </c>
      <c r="AE226" s="24">
        <f>ROUND(IF(AQ226="7",BI226,0),2)</f>
        <v>0</v>
      </c>
      <c r="AF226" s="24">
        <f>ROUND(IF(AQ226="2",BH226,0),2)</f>
        <v>0</v>
      </c>
      <c r="AG226" s="24">
        <f>ROUND(IF(AQ226="2",BI226,0),2)</f>
        <v>0</v>
      </c>
      <c r="AH226" s="24">
        <f>ROUND(IF(AQ226="0",BJ226,0),2)</f>
        <v>0</v>
      </c>
      <c r="AI226" s="10" t="s">
        <v>48</v>
      </c>
      <c r="AJ226" s="24">
        <f>IF(AN226=0,J226,0)</f>
        <v>0</v>
      </c>
      <c r="AK226" s="24">
        <f>IF(AN226=12,J226,0)</f>
        <v>0</v>
      </c>
      <c r="AL226" s="24">
        <f>IF(AN226=21,J226,0)</f>
        <v>0</v>
      </c>
      <c r="AN226" s="24">
        <v>21</v>
      </c>
      <c r="AO226" s="24">
        <f>G226*0</f>
        <v>0</v>
      </c>
      <c r="AP226" s="24">
        <f>G226*(1-0)</f>
        <v>0</v>
      </c>
      <c r="AQ226" s="26" t="s">
        <v>51</v>
      </c>
      <c r="AV226" s="24">
        <f>ROUND(AW226+AX226,2)</f>
        <v>0</v>
      </c>
      <c r="AW226" s="24">
        <f>ROUND(F226*AO226,2)</f>
        <v>0</v>
      </c>
      <c r="AX226" s="24">
        <f>ROUND(F226*AP226,2)</f>
        <v>0</v>
      </c>
      <c r="AY226" s="26" t="s">
        <v>469</v>
      </c>
      <c r="AZ226" s="26" t="s">
        <v>469</v>
      </c>
      <c r="BA226" s="10" t="s">
        <v>57</v>
      </c>
      <c r="BC226" s="24">
        <f>AW226+AX226</f>
        <v>0</v>
      </c>
      <c r="BD226" s="24">
        <f>G226/(100-BE226)*100</f>
        <v>0</v>
      </c>
      <c r="BE226" s="24">
        <v>0</v>
      </c>
      <c r="BF226" s="24">
        <f>226</f>
        <v>226</v>
      </c>
      <c r="BH226" s="24">
        <f>F226*AO226</f>
        <v>0</v>
      </c>
      <c r="BI226" s="24">
        <f>F226*AP226</f>
        <v>0</v>
      </c>
      <c r="BJ226" s="24">
        <f>F226*G226</f>
        <v>0</v>
      </c>
      <c r="BK226" s="26" t="s">
        <v>58</v>
      </c>
      <c r="BL226" s="24">
        <v>96</v>
      </c>
      <c r="BW226" s="24">
        <v>21</v>
      </c>
      <c r="BX226" s="4" t="s">
        <v>509</v>
      </c>
    </row>
    <row r="227" spans="1:76" x14ac:dyDescent="0.25">
      <c r="A227" s="27"/>
      <c r="C227" s="28" t="s">
        <v>510</v>
      </c>
      <c r="D227" s="28" t="s">
        <v>492</v>
      </c>
      <c r="F227" s="29">
        <v>50</v>
      </c>
      <c r="K227" s="30"/>
    </row>
    <row r="228" spans="1:76" x14ac:dyDescent="0.25">
      <c r="A228" s="31" t="s">
        <v>48</v>
      </c>
      <c r="B228" s="32" t="s">
        <v>504</v>
      </c>
      <c r="C228" s="181" t="s">
        <v>511</v>
      </c>
      <c r="D228" s="182"/>
      <c r="E228" s="33" t="s">
        <v>4</v>
      </c>
      <c r="F228" s="33" t="s">
        <v>4</v>
      </c>
      <c r="G228" s="33" t="s">
        <v>4</v>
      </c>
      <c r="H228" s="1">
        <f>ROUND(SUM(H229:H238),2)</f>
        <v>0</v>
      </c>
      <c r="I228" s="1">
        <f>ROUND(SUM(I229:I238),2)</f>
        <v>0</v>
      </c>
      <c r="J228" s="1">
        <f>ROUND(SUM(J229:J238),2)</f>
        <v>0</v>
      </c>
      <c r="K228" s="34" t="s">
        <v>48</v>
      </c>
      <c r="AI228" s="10" t="s">
        <v>48</v>
      </c>
      <c r="AS228" s="1">
        <f>SUM(AJ229:AJ238)</f>
        <v>0</v>
      </c>
      <c r="AT228" s="1">
        <f>SUM(AK229:AK238)</f>
        <v>0</v>
      </c>
      <c r="AU228" s="1">
        <f>SUM(AL229:AL238)</f>
        <v>0</v>
      </c>
    </row>
    <row r="229" spans="1:76" x14ac:dyDescent="0.25">
      <c r="A229" s="2" t="s">
        <v>512</v>
      </c>
      <c r="B229" s="3" t="s">
        <v>513</v>
      </c>
      <c r="C229" s="109" t="s">
        <v>514</v>
      </c>
      <c r="D229" s="106"/>
      <c r="E229" s="3" t="s">
        <v>190</v>
      </c>
      <c r="F229" s="24">
        <v>6</v>
      </c>
      <c r="G229" s="24">
        <v>0</v>
      </c>
      <c r="H229" s="24">
        <f>ROUND(F229*AO229,2)</f>
        <v>0</v>
      </c>
      <c r="I229" s="24">
        <f>ROUND(F229*AP229,2)</f>
        <v>0</v>
      </c>
      <c r="J229" s="24">
        <f>ROUND(F229*G229,2)</f>
        <v>0</v>
      </c>
      <c r="K229" s="25" t="s">
        <v>55</v>
      </c>
      <c r="Z229" s="24">
        <f>ROUND(IF(AQ229="5",BJ229,0),2)</f>
        <v>0</v>
      </c>
      <c r="AB229" s="24">
        <f>ROUND(IF(AQ229="1",BH229,0),2)</f>
        <v>0</v>
      </c>
      <c r="AC229" s="24">
        <f>ROUND(IF(AQ229="1",BI229,0),2)</f>
        <v>0</v>
      </c>
      <c r="AD229" s="24">
        <f>ROUND(IF(AQ229="7",BH229,0),2)</f>
        <v>0</v>
      </c>
      <c r="AE229" s="24">
        <f>ROUND(IF(AQ229="7",BI229,0),2)</f>
        <v>0</v>
      </c>
      <c r="AF229" s="24">
        <f>ROUND(IF(AQ229="2",BH229,0),2)</f>
        <v>0</v>
      </c>
      <c r="AG229" s="24">
        <f>ROUND(IF(AQ229="2",BI229,0),2)</f>
        <v>0</v>
      </c>
      <c r="AH229" s="24">
        <f>ROUND(IF(AQ229="0",BJ229,0),2)</f>
        <v>0</v>
      </c>
      <c r="AI229" s="10" t="s">
        <v>48</v>
      </c>
      <c r="AJ229" s="24">
        <f>IF(AN229=0,J229,0)</f>
        <v>0</v>
      </c>
      <c r="AK229" s="24">
        <f>IF(AN229=12,J229,0)</f>
        <v>0</v>
      </c>
      <c r="AL229" s="24">
        <f>IF(AN229=21,J229,0)</f>
        <v>0</v>
      </c>
      <c r="AN229" s="24">
        <v>21</v>
      </c>
      <c r="AO229" s="24">
        <f>G229*0.117238345</f>
        <v>0</v>
      </c>
      <c r="AP229" s="24">
        <f>G229*(1-0.117238345)</f>
        <v>0</v>
      </c>
      <c r="AQ229" s="26" t="s">
        <v>51</v>
      </c>
      <c r="AV229" s="24">
        <f>ROUND(AW229+AX229,2)</f>
        <v>0</v>
      </c>
      <c r="AW229" s="24">
        <f>ROUND(F229*AO229,2)</f>
        <v>0</v>
      </c>
      <c r="AX229" s="24">
        <f>ROUND(F229*AP229,2)</f>
        <v>0</v>
      </c>
      <c r="AY229" s="26" t="s">
        <v>515</v>
      </c>
      <c r="AZ229" s="26" t="s">
        <v>515</v>
      </c>
      <c r="BA229" s="10" t="s">
        <v>57</v>
      </c>
      <c r="BC229" s="24">
        <f>AW229+AX229</f>
        <v>0</v>
      </c>
      <c r="BD229" s="24">
        <f>G229/(100-BE229)*100</f>
        <v>0</v>
      </c>
      <c r="BE229" s="24">
        <v>0</v>
      </c>
      <c r="BF229" s="24">
        <f>229</f>
        <v>229</v>
      </c>
      <c r="BH229" s="24">
        <f>F229*AO229</f>
        <v>0</v>
      </c>
      <c r="BI229" s="24">
        <f>F229*AP229</f>
        <v>0</v>
      </c>
      <c r="BJ229" s="24">
        <f>F229*G229</f>
        <v>0</v>
      </c>
      <c r="BK229" s="26" t="s">
        <v>58</v>
      </c>
      <c r="BL229" s="24">
        <v>97</v>
      </c>
      <c r="BW229" s="24">
        <v>21</v>
      </c>
      <c r="BX229" s="4" t="s">
        <v>514</v>
      </c>
    </row>
    <row r="230" spans="1:76" x14ac:dyDescent="0.25">
      <c r="A230" s="27"/>
      <c r="C230" s="28" t="s">
        <v>516</v>
      </c>
      <c r="D230" s="28" t="s">
        <v>517</v>
      </c>
      <c r="F230" s="29">
        <v>6</v>
      </c>
      <c r="K230" s="30"/>
    </row>
    <row r="231" spans="1:76" x14ac:dyDescent="0.25">
      <c r="A231" s="2" t="s">
        <v>518</v>
      </c>
      <c r="B231" s="3" t="s">
        <v>519</v>
      </c>
      <c r="C231" s="109" t="s">
        <v>520</v>
      </c>
      <c r="D231" s="106"/>
      <c r="E231" s="3" t="s">
        <v>190</v>
      </c>
      <c r="F231" s="24">
        <v>21.6</v>
      </c>
      <c r="G231" s="24">
        <v>0</v>
      </c>
      <c r="H231" s="24">
        <f>ROUND(F231*AO231,2)</f>
        <v>0</v>
      </c>
      <c r="I231" s="24">
        <f>ROUND(F231*AP231,2)</f>
        <v>0</v>
      </c>
      <c r="J231" s="24">
        <f>ROUND(F231*G231,2)</f>
        <v>0</v>
      </c>
      <c r="K231" s="25" t="s">
        <v>55</v>
      </c>
      <c r="Z231" s="24">
        <f>ROUND(IF(AQ231="5",BJ231,0),2)</f>
        <v>0</v>
      </c>
      <c r="AB231" s="24">
        <f>ROUND(IF(AQ231="1",BH231,0),2)</f>
        <v>0</v>
      </c>
      <c r="AC231" s="24">
        <f>ROUND(IF(AQ231="1",BI231,0),2)</f>
        <v>0</v>
      </c>
      <c r="AD231" s="24">
        <f>ROUND(IF(AQ231="7",BH231,0),2)</f>
        <v>0</v>
      </c>
      <c r="AE231" s="24">
        <f>ROUND(IF(AQ231="7",BI231,0),2)</f>
        <v>0</v>
      </c>
      <c r="AF231" s="24">
        <f>ROUND(IF(AQ231="2",BH231,0),2)</f>
        <v>0</v>
      </c>
      <c r="AG231" s="24">
        <f>ROUND(IF(AQ231="2",BI231,0),2)</f>
        <v>0</v>
      </c>
      <c r="AH231" s="24">
        <f>ROUND(IF(AQ231="0",BJ231,0),2)</f>
        <v>0</v>
      </c>
      <c r="AI231" s="10" t="s">
        <v>48</v>
      </c>
      <c r="AJ231" s="24">
        <f>IF(AN231=0,J231,0)</f>
        <v>0</v>
      </c>
      <c r="AK231" s="24">
        <f>IF(AN231=12,J231,0)</f>
        <v>0</v>
      </c>
      <c r="AL231" s="24">
        <f>IF(AN231=21,J231,0)</f>
        <v>0</v>
      </c>
      <c r="AN231" s="24">
        <v>21</v>
      </c>
      <c r="AO231" s="24">
        <f>G231*0.136884801</f>
        <v>0</v>
      </c>
      <c r="AP231" s="24">
        <f>G231*(1-0.136884801)</f>
        <v>0</v>
      </c>
      <c r="AQ231" s="26" t="s">
        <v>51</v>
      </c>
      <c r="AV231" s="24">
        <f>ROUND(AW231+AX231,2)</f>
        <v>0</v>
      </c>
      <c r="AW231" s="24">
        <f>ROUND(F231*AO231,2)</f>
        <v>0</v>
      </c>
      <c r="AX231" s="24">
        <f>ROUND(F231*AP231,2)</f>
        <v>0</v>
      </c>
      <c r="AY231" s="26" t="s">
        <v>515</v>
      </c>
      <c r="AZ231" s="26" t="s">
        <v>515</v>
      </c>
      <c r="BA231" s="10" t="s">
        <v>57</v>
      </c>
      <c r="BC231" s="24">
        <f>AW231+AX231</f>
        <v>0</v>
      </c>
      <c r="BD231" s="24">
        <f>G231/(100-BE231)*100</f>
        <v>0</v>
      </c>
      <c r="BE231" s="24">
        <v>0</v>
      </c>
      <c r="BF231" s="24">
        <f>231</f>
        <v>231</v>
      </c>
      <c r="BH231" s="24">
        <f>F231*AO231</f>
        <v>0</v>
      </c>
      <c r="BI231" s="24">
        <f>F231*AP231</f>
        <v>0</v>
      </c>
      <c r="BJ231" s="24">
        <f>F231*G231</f>
        <v>0</v>
      </c>
      <c r="BK231" s="26" t="s">
        <v>58</v>
      </c>
      <c r="BL231" s="24">
        <v>97</v>
      </c>
      <c r="BW231" s="24">
        <v>21</v>
      </c>
      <c r="BX231" s="4" t="s">
        <v>520</v>
      </c>
    </row>
    <row r="232" spans="1:76" x14ac:dyDescent="0.25">
      <c r="A232" s="27"/>
      <c r="C232" s="28" t="s">
        <v>521</v>
      </c>
      <c r="D232" s="28" t="s">
        <v>522</v>
      </c>
      <c r="F232" s="29">
        <v>21.6</v>
      </c>
      <c r="K232" s="30"/>
    </row>
    <row r="233" spans="1:76" x14ac:dyDescent="0.25">
      <c r="A233" s="2" t="s">
        <v>523</v>
      </c>
      <c r="B233" s="3" t="s">
        <v>524</v>
      </c>
      <c r="C233" s="109" t="s">
        <v>525</v>
      </c>
      <c r="D233" s="106"/>
      <c r="E233" s="3" t="s">
        <v>84</v>
      </c>
      <c r="F233" s="24">
        <v>16.79</v>
      </c>
      <c r="G233" s="24">
        <v>0</v>
      </c>
      <c r="H233" s="24">
        <f>ROUND(F233*AO233,2)</f>
        <v>0</v>
      </c>
      <c r="I233" s="24">
        <f>ROUND(F233*AP233,2)</f>
        <v>0</v>
      </c>
      <c r="J233" s="24">
        <f>ROUND(F233*G233,2)</f>
        <v>0</v>
      </c>
      <c r="K233" s="25" t="s">
        <v>55</v>
      </c>
      <c r="Z233" s="24">
        <f>ROUND(IF(AQ233="5",BJ233,0),2)</f>
        <v>0</v>
      </c>
      <c r="AB233" s="24">
        <f>ROUND(IF(AQ233="1",BH233,0),2)</f>
        <v>0</v>
      </c>
      <c r="AC233" s="24">
        <f>ROUND(IF(AQ233="1",BI233,0),2)</f>
        <v>0</v>
      </c>
      <c r="AD233" s="24">
        <f>ROUND(IF(AQ233="7",BH233,0),2)</f>
        <v>0</v>
      </c>
      <c r="AE233" s="24">
        <f>ROUND(IF(AQ233="7",BI233,0),2)</f>
        <v>0</v>
      </c>
      <c r="AF233" s="24">
        <f>ROUND(IF(AQ233="2",BH233,0),2)</f>
        <v>0</v>
      </c>
      <c r="AG233" s="24">
        <f>ROUND(IF(AQ233="2",BI233,0),2)</f>
        <v>0</v>
      </c>
      <c r="AH233" s="24">
        <f>ROUND(IF(AQ233="0",BJ233,0),2)</f>
        <v>0</v>
      </c>
      <c r="AI233" s="10" t="s">
        <v>48</v>
      </c>
      <c r="AJ233" s="24">
        <f>IF(AN233=0,J233,0)</f>
        <v>0</v>
      </c>
      <c r="AK233" s="24">
        <f>IF(AN233=12,J233,0)</f>
        <v>0</v>
      </c>
      <c r="AL233" s="24">
        <f>IF(AN233=21,J233,0)</f>
        <v>0</v>
      </c>
      <c r="AN233" s="24">
        <v>21</v>
      </c>
      <c r="AO233" s="24">
        <f>G233*0</f>
        <v>0</v>
      </c>
      <c r="AP233" s="24">
        <f>G233*(1-0)</f>
        <v>0</v>
      </c>
      <c r="AQ233" s="26" t="s">
        <v>51</v>
      </c>
      <c r="AV233" s="24">
        <f>ROUND(AW233+AX233,2)</f>
        <v>0</v>
      </c>
      <c r="AW233" s="24">
        <f>ROUND(F233*AO233,2)</f>
        <v>0</v>
      </c>
      <c r="AX233" s="24">
        <f>ROUND(F233*AP233,2)</f>
        <v>0</v>
      </c>
      <c r="AY233" s="26" t="s">
        <v>515</v>
      </c>
      <c r="AZ233" s="26" t="s">
        <v>515</v>
      </c>
      <c r="BA233" s="10" t="s">
        <v>57</v>
      </c>
      <c r="BC233" s="24">
        <f>AW233+AX233</f>
        <v>0</v>
      </c>
      <c r="BD233" s="24">
        <f>G233/(100-BE233)*100</f>
        <v>0</v>
      </c>
      <c r="BE233" s="24">
        <v>0</v>
      </c>
      <c r="BF233" s="24">
        <f>233</f>
        <v>233</v>
      </c>
      <c r="BH233" s="24">
        <f>F233*AO233</f>
        <v>0</v>
      </c>
      <c r="BI233" s="24">
        <f>F233*AP233</f>
        <v>0</v>
      </c>
      <c r="BJ233" s="24">
        <f>F233*G233</f>
        <v>0</v>
      </c>
      <c r="BK233" s="26" t="s">
        <v>58</v>
      </c>
      <c r="BL233" s="24">
        <v>97</v>
      </c>
      <c r="BW233" s="24">
        <v>21</v>
      </c>
      <c r="BX233" s="4" t="s">
        <v>525</v>
      </c>
    </row>
    <row r="234" spans="1:76" x14ac:dyDescent="0.25">
      <c r="A234" s="27"/>
      <c r="C234" s="28" t="s">
        <v>181</v>
      </c>
      <c r="D234" s="28" t="s">
        <v>526</v>
      </c>
      <c r="F234" s="29">
        <v>16.79</v>
      </c>
      <c r="K234" s="30"/>
    </row>
    <row r="235" spans="1:76" x14ac:dyDescent="0.25">
      <c r="A235" s="2" t="s">
        <v>527</v>
      </c>
      <c r="B235" s="3" t="s">
        <v>528</v>
      </c>
      <c r="C235" s="109" t="s">
        <v>529</v>
      </c>
      <c r="D235" s="106"/>
      <c r="E235" s="3" t="s">
        <v>84</v>
      </c>
      <c r="F235" s="24">
        <v>54.47</v>
      </c>
      <c r="G235" s="24">
        <v>0</v>
      </c>
      <c r="H235" s="24">
        <f>ROUND(F235*AO235,2)</f>
        <v>0</v>
      </c>
      <c r="I235" s="24">
        <f>ROUND(F235*AP235,2)</f>
        <v>0</v>
      </c>
      <c r="J235" s="24">
        <f>ROUND(F235*G235,2)</f>
        <v>0</v>
      </c>
      <c r="K235" s="25" t="s">
        <v>55</v>
      </c>
      <c r="Z235" s="24">
        <f>ROUND(IF(AQ235="5",BJ235,0),2)</f>
        <v>0</v>
      </c>
      <c r="AB235" s="24">
        <f>ROUND(IF(AQ235="1",BH235,0),2)</f>
        <v>0</v>
      </c>
      <c r="AC235" s="24">
        <f>ROUND(IF(AQ235="1",BI235,0),2)</f>
        <v>0</v>
      </c>
      <c r="AD235" s="24">
        <f>ROUND(IF(AQ235="7",BH235,0),2)</f>
        <v>0</v>
      </c>
      <c r="AE235" s="24">
        <f>ROUND(IF(AQ235="7",BI235,0),2)</f>
        <v>0</v>
      </c>
      <c r="AF235" s="24">
        <f>ROUND(IF(AQ235="2",BH235,0),2)</f>
        <v>0</v>
      </c>
      <c r="AG235" s="24">
        <f>ROUND(IF(AQ235="2",BI235,0),2)</f>
        <v>0</v>
      </c>
      <c r="AH235" s="24">
        <f>ROUND(IF(AQ235="0",BJ235,0),2)</f>
        <v>0</v>
      </c>
      <c r="AI235" s="10" t="s">
        <v>48</v>
      </c>
      <c r="AJ235" s="24">
        <f>IF(AN235=0,J235,0)</f>
        <v>0</v>
      </c>
      <c r="AK235" s="24">
        <f>IF(AN235=12,J235,0)</f>
        <v>0</v>
      </c>
      <c r="AL235" s="24">
        <f>IF(AN235=21,J235,0)</f>
        <v>0</v>
      </c>
      <c r="AN235" s="24">
        <v>21</v>
      </c>
      <c r="AO235" s="24">
        <f>G235*0</f>
        <v>0</v>
      </c>
      <c r="AP235" s="24">
        <f>G235*(1-0)</f>
        <v>0</v>
      </c>
      <c r="AQ235" s="26" t="s">
        <v>51</v>
      </c>
      <c r="AV235" s="24">
        <f>ROUND(AW235+AX235,2)</f>
        <v>0</v>
      </c>
      <c r="AW235" s="24">
        <f>ROUND(F235*AO235,2)</f>
        <v>0</v>
      </c>
      <c r="AX235" s="24">
        <f>ROUND(F235*AP235,2)</f>
        <v>0</v>
      </c>
      <c r="AY235" s="26" t="s">
        <v>515</v>
      </c>
      <c r="AZ235" s="26" t="s">
        <v>515</v>
      </c>
      <c r="BA235" s="10" t="s">
        <v>57</v>
      </c>
      <c r="BC235" s="24">
        <f>AW235+AX235</f>
        <v>0</v>
      </c>
      <c r="BD235" s="24">
        <f>G235/(100-BE235)*100</f>
        <v>0</v>
      </c>
      <c r="BE235" s="24">
        <v>0</v>
      </c>
      <c r="BF235" s="24">
        <f>235</f>
        <v>235</v>
      </c>
      <c r="BH235" s="24">
        <f>F235*AO235</f>
        <v>0</v>
      </c>
      <c r="BI235" s="24">
        <f>F235*AP235</f>
        <v>0</v>
      </c>
      <c r="BJ235" s="24">
        <f>F235*G235</f>
        <v>0</v>
      </c>
      <c r="BK235" s="26" t="s">
        <v>58</v>
      </c>
      <c r="BL235" s="24">
        <v>97</v>
      </c>
      <c r="BW235" s="24">
        <v>21</v>
      </c>
      <c r="BX235" s="4" t="s">
        <v>529</v>
      </c>
    </row>
    <row r="236" spans="1:76" x14ac:dyDescent="0.25">
      <c r="A236" s="27"/>
      <c r="C236" s="28" t="s">
        <v>120</v>
      </c>
      <c r="D236" s="28" t="s">
        <v>476</v>
      </c>
      <c r="F236" s="29">
        <v>64.67</v>
      </c>
      <c r="K236" s="30"/>
    </row>
    <row r="237" spans="1:76" x14ac:dyDescent="0.25">
      <c r="A237" s="27"/>
      <c r="C237" s="28" t="s">
        <v>530</v>
      </c>
      <c r="D237" s="28" t="s">
        <v>531</v>
      </c>
      <c r="F237" s="29">
        <v>-10.199999999999999</v>
      </c>
      <c r="K237" s="30"/>
    </row>
    <row r="238" spans="1:76" x14ac:dyDescent="0.25">
      <c r="A238" s="2" t="s">
        <v>532</v>
      </c>
      <c r="B238" s="3" t="s">
        <v>533</v>
      </c>
      <c r="C238" s="109" t="s">
        <v>534</v>
      </c>
      <c r="D238" s="106"/>
      <c r="E238" s="3" t="s">
        <v>84</v>
      </c>
      <c r="F238" s="24">
        <v>8.39</v>
      </c>
      <c r="G238" s="24">
        <v>0</v>
      </c>
      <c r="H238" s="24">
        <f>ROUND(F238*AO238,2)</f>
        <v>0</v>
      </c>
      <c r="I238" s="24">
        <f>ROUND(F238*AP238,2)</f>
        <v>0</v>
      </c>
      <c r="J238" s="24">
        <f>ROUND(F238*G238,2)</f>
        <v>0</v>
      </c>
      <c r="K238" s="25" t="s">
        <v>55</v>
      </c>
      <c r="Z238" s="24">
        <f>ROUND(IF(AQ238="5",BJ238,0),2)</f>
        <v>0</v>
      </c>
      <c r="AB238" s="24">
        <f>ROUND(IF(AQ238="1",BH238,0),2)</f>
        <v>0</v>
      </c>
      <c r="AC238" s="24">
        <f>ROUND(IF(AQ238="1",BI238,0),2)</f>
        <v>0</v>
      </c>
      <c r="AD238" s="24">
        <f>ROUND(IF(AQ238="7",BH238,0),2)</f>
        <v>0</v>
      </c>
      <c r="AE238" s="24">
        <f>ROUND(IF(AQ238="7",BI238,0),2)</f>
        <v>0</v>
      </c>
      <c r="AF238" s="24">
        <f>ROUND(IF(AQ238="2",BH238,0),2)</f>
        <v>0</v>
      </c>
      <c r="AG238" s="24">
        <f>ROUND(IF(AQ238="2",BI238,0),2)</f>
        <v>0</v>
      </c>
      <c r="AH238" s="24">
        <f>ROUND(IF(AQ238="0",BJ238,0),2)</f>
        <v>0</v>
      </c>
      <c r="AI238" s="10" t="s">
        <v>48</v>
      </c>
      <c r="AJ238" s="24">
        <f>IF(AN238=0,J238,0)</f>
        <v>0</v>
      </c>
      <c r="AK238" s="24">
        <f>IF(AN238=12,J238,0)</f>
        <v>0</v>
      </c>
      <c r="AL238" s="24">
        <f>IF(AN238=21,J238,0)</f>
        <v>0</v>
      </c>
      <c r="AN238" s="24">
        <v>21</v>
      </c>
      <c r="AO238" s="24">
        <f>G238*0</f>
        <v>0</v>
      </c>
      <c r="AP238" s="24">
        <f>G238*(1-0)</f>
        <v>0</v>
      </c>
      <c r="AQ238" s="26" t="s">
        <v>51</v>
      </c>
      <c r="AV238" s="24">
        <f>ROUND(AW238+AX238,2)</f>
        <v>0</v>
      </c>
      <c r="AW238" s="24">
        <f>ROUND(F238*AO238,2)</f>
        <v>0</v>
      </c>
      <c r="AX238" s="24">
        <f>ROUND(F238*AP238,2)</f>
        <v>0</v>
      </c>
      <c r="AY238" s="26" t="s">
        <v>515</v>
      </c>
      <c r="AZ238" s="26" t="s">
        <v>515</v>
      </c>
      <c r="BA238" s="10" t="s">
        <v>57</v>
      </c>
      <c r="BC238" s="24">
        <f>AW238+AX238</f>
        <v>0</v>
      </c>
      <c r="BD238" s="24">
        <f>G238/(100-BE238)*100</f>
        <v>0</v>
      </c>
      <c r="BE238" s="24">
        <v>0</v>
      </c>
      <c r="BF238" s="24">
        <f>238</f>
        <v>238</v>
      </c>
      <c r="BH238" s="24">
        <f>F238*AO238</f>
        <v>0</v>
      </c>
      <c r="BI238" s="24">
        <f>F238*AP238</f>
        <v>0</v>
      </c>
      <c r="BJ238" s="24">
        <f>F238*G238</f>
        <v>0</v>
      </c>
      <c r="BK238" s="26" t="s">
        <v>58</v>
      </c>
      <c r="BL238" s="24">
        <v>97</v>
      </c>
      <c r="BW238" s="24">
        <v>21</v>
      </c>
      <c r="BX238" s="4" t="s">
        <v>534</v>
      </c>
    </row>
    <row r="239" spans="1:76" x14ac:dyDescent="0.25">
      <c r="A239" s="27"/>
      <c r="C239" s="28" t="s">
        <v>535</v>
      </c>
      <c r="D239" s="28" t="s">
        <v>526</v>
      </c>
      <c r="F239" s="29">
        <v>8.39</v>
      </c>
      <c r="K239" s="30"/>
    </row>
    <row r="240" spans="1:76" x14ac:dyDescent="0.25">
      <c r="A240" s="31" t="s">
        <v>48</v>
      </c>
      <c r="B240" s="32" t="s">
        <v>536</v>
      </c>
      <c r="C240" s="181" t="s">
        <v>537</v>
      </c>
      <c r="D240" s="182"/>
      <c r="E240" s="33" t="s">
        <v>4</v>
      </c>
      <c r="F240" s="33" t="s">
        <v>4</v>
      </c>
      <c r="G240" s="33" t="s">
        <v>4</v>
      </c>
      <c r="H240" s="1">
        <f>ROUND(SUM(H241:H242),2)</f>
        <v>0</v>
      </c>
      <c r="I240" s="1">
        <f>ROUND(SUM(I241:I242),2)</f>
        <v>0</v>
      </c>
      <c r="J240" s="1">
        <f>ROUND(SUM(J241:J242),2)</f>
        <v>0</v>
      </c>
      <c r="K240" s="34" t="s">
        <v>48</v>
      </c>
      <c r="AI240" s="10" t="s">
        <v>48</v>
      </c>
      <c r="AS240" s="1">
        <f>SUM(AJ241:AJ242)</f>
        <v>0</v>
      </c>
      <c r="AT240" s="1">
        <f>SUM(AK241:AK242)</f>
        <v>0</v>
      </c>
      <c r="AU240" s="1">
        <f>SUM(AL241:AL242)</f>
        <v>0</v>
      </c>
    </row>
    <row r="241" spans="1:76" x14ac:dyDescent="0.25">
      <c r="A241" s="2" t="s">
        <v>538</v>
      </c>
      <c r="B241" s="3" t="s">
        <v>539</v>
      </c>
      <c r="C241" s="109" t="s">
        <v>540</v>
      </c>
      <c r="D241" s="106"/>
      <c r="E241" s="3" t="s">
        <v>541</v>
      </c>
      <c r="F241" s="24">
        <v>20</v>
      </c>
      <c r="G241" s="24">
        <v>0</v>
      </c>
      <c r="H241" s="24">
        <f>ROUND(F241*AO241,2)</f>
        <v>0</v>
      </c>
      <c r="I241" s="24">
        <f>ROUND(F241*AP241,2)</f>
        <v>0</v>
      </c>
      <c r="J241" s="24">
        <f>ROUND(F241*G241,2)</f>
        <v>0</v>
      </c>
      <c r="K241" s="25" t="s">
        <v>48</v>
      </c>
      <c r="Z241" s="24">
        <f>ROUND(IF(AQ241="5",BJ241,0),2)</f>
        <v>0</v>
      </c>
      <c r="AB241" s="24">
        <f>ROUND(IF(AQ241="1",BH241,0),2)</f>
        <v>0</v>
      </c>
      <c r="AC241" s="24">
        <f>ROUND(IF(AQ241="1",BI241,0),2)</f>
        <v>0</v>
      </c>
      <c r="AD241" s="24">
        <f>ROUND(IF(AQ241="7",BH241,0),2)</f>
        <v>0</v>
      </c>
      <c r="AE241" s="24">
        <f>ROUND(IF(AQ241="7",BI241,0),2)</f>
        <v>0</v>
      </c>
      <c r="AF241" s="24">
        <f>ROUND(IF(AQ241="2",BH241,0),2)</f>
        <v>0</v>
      </c>
      <c r="AG241" s="24">
        <f>ROUND(IF(AQ241="2",BI241,0),2)</f>
        <v>0</v>
      </c>
      <c r="AH241" s="24">
        <f>ROUND(IF(AQ241="0",BJ241,0),2)</f>
        <v>0</v>
      </c>
      <c r="AI241" s="10" t="s">
        <v>48</v>
      </c>
      <c r="AJ241" s="24">
        <f>IF(AN241=0,J241,0)</f>
        <v>0</v>
      </c>
      <c r="AK241" s="24">
        <f>IF(AN241=12,J241,0)</f>
        <v>0</v>
      </c>
      <c r="AL241" s="24">
        <f>IF(AN241=21,J241,0)</f>
        <v>0</v>
      </c>
      <c r="AN241" s="24">
        <v>21</v>
      </c>
      <c r="AO241" s="24">
        <f>G241*0</f>
        <v>0</v>
      </c>
      <c r="AP241" s="24">
        <f>G241*(1-0)</f>
        <v>0</v>
      </c>
      <c r="AQ241" s="26" t="s">
        <v>75</v>
      </c>
      <c r="AV241" s="24">
        <f>ROUND(AW241+AX241,2)</f>
        <v>0</v>
      </c>
      <c r="AW241" s="24">
        <f>ROUND(F241*AO241,2)</f>
        <v>0</v>
      </c>
      <c r="AX241" s="24">
        <f>ROUND(F241*AP241,2)</f>
        <v>0</v>
      </c>
      <c r="AY241" s="26" t="s">
        <v>542</v>
      </c>
      <c r="AZ241" s="26" t="s">
        <v>542</v>
      </c>
      <c r="BA241" s="10" t="s">
        <v>57</v>
      </c>
      <c r="BC241" s="24">
        <f>AW241+AX241</f>
        <v>0</v>
      </c>
      <c r="BD241" s="24">
        <f>G241/(100-BE241)*100</f>
        <v>0</v>
      </c>
      <c r="BE241" s="24">
        <v>0</v>
      </c>
      <c r="BF241" s="24">
        <f>241</f>
        <v>241</v>
      </c>
      <c r="BH241" s="24">
        <f>F241*AO241</f>
        <v>0</v>
      </c>
      <c r="BI241" s="24">
        <f>F241*AP241</f>
        <v>0</v>
      </c>
      <c r="BJ241" s="24">
        <f>F241*G241</f>
        <v>0</v>
      </c>
      <c r="BK241" s="26" t="s">
        <v>58</v>
      </c>
      <c r="BL241" s="24"/>
      <c r="BW241" s="24">
        <v>21</v>
      </c>
      <c r="BX241" s="4" t="s">
        <v>540</v>
      </c>
    </row>
    <row r="242" spans="1:76" x14ac:dyDescent="0.25">
      <c r="A242" s="2" t="s">
        <v>543</v>
      </c>
      <c r="B242" s="3" t="s">
        <v>544</v>
      </c>
      <c r="C242" s="109" t="s">
        <v>545</v>
      </c>
      <c r="D242" s="106"/>
      <c r="E242" s="3" t="s">
        <v>104</v>
      </c>
      <c r="F242" s="24">
        <v>92.18</v>
      </c>
      <c r="G242" s="24">
        <v>0</v>
      </c>
      <c r="H242" s="24">
        <f>ROUND(F242*AO242,2)</f>
        <v>0</v>
      </c>
      <c r="I242" s="24">
        <f>ROUND(F242*AP242,2)</f>
        <v>0</v>
      </c>
      <c r="J242" s="24">
        <f>ROUND(F242*G242,2)</f>
        <v>0</v>
      </c>
      <c r="K242" s="25" t="s">
        <v>55</v>
      </c>
      <c r="Z242" s="24">
        <f>ROUND(IF(AQ242="5",BJ242,0),2)</f>
        <v>0</v>
      </c>
      <c r="AB242" s="24">
        <f>ROUND(IF(AQ242="1",BH242,0),2)</f>
        <v>0</v>
      </c>
      <c r="AC242" s="24">
        <f>ROUND(IF(AQ242="1",BI242,0),2)</f>
        <v>0</v>
      </c>
      <c r="AD242" s="24">
        <f>ROUND(IF(AQ242="7",BH242,0),2)</f>
        <v>0</v>
      </c>
      <c r="AE242" s="24">
        <f>ROUND(IF(AQ242="7",BI242,0),2)</f>
        <v>0</v>
      </c>
      <c r="AF242" s="24">
        <f>ROUND(IF(AQ242="2",BH242,0),2)</f>
        <v>0</v>
      </c>
      <c r="AG242" s="24">
        <f>ROUND(IF(AQ242="2",BI242,0),2)</f>
        <v>0</v>
      </c>
      <c r="AH242" s="24">
        <f>ROUND(IF(AQ242="0",BJ242,0),2)</f>
        <v>0</v>
      </c>
      <c r="AI242" s="10" t="s">
        <v>48</v>
      </c>
      <c r="AJ242" s="24">
        <f>IF(AN242=0,J242,0)</f>
        <v>0</v>
      </c>
      <c r="AK242" s="24">
        <f>IF(AN242=12,J242,0)</f>
        <v>0</v>
      </c>
      <c r="AL242" s="24">
        <f>IF(AN242=21,J242,0)</f>
        <v>0</v>
      </c>
      <c r="AN242" s="24">
        <v>21</v>
      </c>
      <c r="AO242" s="24">
        <f>G242*0</f>
        <v>0</v>
      </c>
      <c r="AP242" s="24">
        <f>G242*(1-0)</f>
        <v>0</v>
      </c>
      <c r="AQ242" s="26" t="s">
        <v>75</v>
      </c>
      <c r="AV242" s="24">
        <f>ROUND(AW242+AX242,2)</f>
        <v>0</v>
      </c>
      <c r="AW242" s="24">
        <f>ROUND(F242*AO242,2)</f>
        <v>0</v>
      </c>
      <c r="AX242" s="24">
        <f>ROUND(F242*AP242,2)</f>
        <v>0</v>
      </c>
      <c r="AY242" s="26" t="s">
        <v>542</v>
      </c>
      <c r="AZ242" s="26" t="s">
        <v>542</v>
      </c>
      <c r="BA242" s="10" t="s">
        <v>57</v>
      </c>
      <c r="BC242" s="24">
        <f>AW242+AX242</f>
        <v>0</v>
      </c>
      <c r="BD242" s="24">
        <f>G242/(100-BE242)*100</f>
        <v>0</v>
      </c>
      <c r="BE242" s="24">
        <v>0</v>
      </c>
      <c r="BF242" s="24">
        <f>242</f>
        <v>242</v>
      </c>
      <c r="BH242" s="24">
        <f>F242*AO242</f>
        <v>0</v>
      </c>
      <c r="BI242" s="24">
        <f>F242*AP242</f>
        <v>0</v>
      </c>
      <c r="BJ242" s="24">
        <f>F242*G242</f>
        <v>0</v>
      </c>
      <c r="BK242" s="26" t="s">
        <v>58</v>
      </c>
      <c r="BL242" s="24"/>
      <c r="BW242" s="24">
        <v>21</v>
      </c>
      <c r="BX242" s="4" t="s">
        <v>545</v>
      </c>
    </row>
    <row r="243" spans="1:76" x14ac:dyDescent="0.25">
      <c r="A243" s="31" t="s">
        <v>48</v>
      </c>
      <c r="B243" s="32" t="s">
        <v>546</v>
      </c>
      <c r="C243" s="181" t="s">
        <v>547</v>
      </c>
      <c r="D243" s="182"/>
      <c r="E243" s="33" t="s">
        <v>4</v>
      </c>
      <c r="F243" s="33" t="s">
        <v>4</v>
      </c>
      <c r="G243" s="33" t="s">
        <v>4</v>
      </c>
      <c r="H243" s="1">
        <f>ROUND(SUM(H244:H269),2)</f>
        <v>0</v>
      </c>
      <c r="I243" s="1">
        <f>ROUND(SUM(I244:I269),2)</f>
        <v>0</v>
      </c>
      <c r="J243" s="1">
        <f>ROUND(SUM(J244:J269),2)</f>
        <v>0</v>
      </c>
      <c r="K243" s="34" t="s">
        <v>48</v>
      </c>
      <c r="AI243" s="10" t="s">
        <v>48</v>
      </c>
      <c r="AS243" s="1">
        <f>SUM(AJ244:AJ269)</f>
        <v>0</v>
      </c>
      <c r="AT243" s="1">
        <f>SUM(AK244:AK269)</f>
        <v>0</v>
      </c>
      <c r="AU243" s="1">
        <f>SUM(AL244:AL269)</f>
        <v>0</v>
      </c>
    </row>
    <row r="244" spans="1:76" x14ac:dyDescent="0.25">
      <c r="A244" s="2" t="s">
        <v>548</v>
      </c>
      <c r="B244" s="3" t="s">
        <v>549</v>
      </c>
      <c r="C244" s="109" t="s">
        <v>550</v>
      </c>
      <c r="D244" s="106"/>
      <c r="E244" s="3" t="s">
        <v>190</v>
      </c>
      <c r="F244" s="24">
        <v>20</v>
      </c>
      <c r="G244" s="24">
        <v>0</v>
      </c>
      <c r="H244" s="24">
        <f>ROUND(F244*AO244,2)</f>
        <v>0</v>
      </c>
      <c r="I244" s="24">
        <f>ROUND(F244*AP244,2)</f>
        <v>0</v>
      </c>
      <c r="J244" s="24">
        <f>ROUND(F244*G244,2)</f>
        <v>0</v>
      </c>
      <c r="K244" s="25" t="s">
        <v>55</v>
      </c>
      <c r="Z244" s="24">
        <f>ROUND(IF(AQ244="5",BJ244,0),2)</f>
        <v>0</v>
      </c>
      <c r="AB244" s="24">
        <f>ROUND(IF(AQ244="1",BH244,0),2)</f>
        <v>0</v>
      </c>
      <c r="AC244" s="24">
        <f>ROUND(IF(AQ244="1",BI244,0),2)</f>
        <v>0</v>
      </c>
      <c r="AD244" s="24">
        <f>ROUND(IF(AQ244="7",BH244,0),2)</f>
        <v>0</v>
      </c>
      <c r="AE244" s="24">
        <f>ROUND(IF(AQ244="7",BI244,0),2)</f>
        <v>0</v>
      </c>
      <c r="AF244" s="24">
        <f>ROUND(IF(AQ244="2",BH244,0),2)</f>
        <v>0</v>
      </c>
      <c r="AG244" s="24">
        <f>ROUND(IF(AQ244="2",BI244,0),2)</f>
        <v>0</v>
      </c>
      <c r="AH244" s="24">
        <f>ROUND(IF(AQ244="0",BJ244,0),2)</f>
        <v>0</v>
      </c>
      <c r="AI244" s="10" t="s">
        <v>48</v>
      </c>
      <c r="AJ244" s="24">
        <f>IF(AN244=0,J244,0)</f>
        <v>0</v>
      </c>
      <c r="AK244" s="24">
        <f>IF(AN244=12,J244,0)</f>
        <v>0</v>
      </c>
      <c r="AL244" s="24">
        <f>IF(AN244=21,J244,0)</f>
        <v>0</v>
      </c>
      <c r="AN244" s="24">
        <v>21</v>
      </c>
      <c r="AO244" s="24">
        <f>G244*0</f>
        <v>0</v>
      </c>
      <c r="AP244" s="24">
        <f>G244*(1-0)</f>
        <v>0</v>
      </c>
      <c r="AQ244" s="26" t="s">
        <v>63</v>
      </c>
      <c r="AV244" s="24">
        <f>ROUND(AW244+AX244,2)</f>
        <v>0</v>
      </c>
      <c r="AW244" s="24">
        <f>ROUND(F244*AO244,2)</f>
        <v>0</v>
      </c>
      <c r="AX244" s="24">
        <f>ROUND(F244*AP244,2)</f>
        <v>0</v>
      </c>
      <c r="AY244" s="26" t="s">
        <v>551</v>
      </c>
      <c r="AZ244" s="26" t="s">
        <v>551</v>
      </c>
      <c r="BA244" s="10" t="s">
        <v>57</v>
      </c>
      <c r="BC244" s="24">
        <f>AW244+AX244</f>
        <v>0</v>
      </c>
      <c r="BD244" s="24">
        <f>G244/(100-BE244)*100</f>
        <v>0</v>
      </c>
      <c r="BE244" s="24">
        <v>0</v>
      </c>
      <c r="BF244" s="24">
        <f>244</f>
        <v>244</v>
      </c>
      <c r="BH244" s="24">
        <f>F244*AO244</f>
        <v>0</v>
      </c>
      <c r="BI244" s="24">
        <f>F244*AP244</f>
        <v>0</v>
      </c>
      <c r="BJ244" s="24">
        <f>F244*G244</f>
        <v>0</v>
      </c>
      <c r="BK244" s="26" t="s">
        <v>58</v>
      </c>
      <c r="BL244" s="24"/>
      <c r="BW244" s="24">
        <v>21</v>
      </c>
      <c r="BX244" s="4" t="s">
        <v>550</v>
      </c>
    </row>
    <row r="245" spans="1:76" x14ac:dyDescent="0.25">
      <c r="A245" s="27"/>
      <c r="C245" s="28" t="s">
        <v>154</v>
      </c>
      <c r="D245" s="28" t="s">
        <v>552</v>
      </c>
      <c r="F245" s="29">
        <v>20</v>
      </c>
      <c r="K245" s="30"/>
    </row>
    <row r="246" spans="1:76" x14ac:dyDescent="0.25">
      <c r="A246" s="2" t="s">
        <v>553</v>
      </c>
      <c r="B246" s="3" t="s">
        <v>554</v>
      </c>
      <c r="C246" s="109" t="s">
        <v>555</v>
      </c>
      <c r="D246" s="106"/>
      <c r="E246" s="3" t="s">
        <v>190</v>
      </c>
      <c r="F246" s="24">
        <v>20</v>
      </c>
      <c r="G246" s="24">
        <v>0</v>
      </c>
      <c r="H246" s="24">
        <f t="shared" ref="H246:H251" si="0">ROUND(F246*AO246,2)</f>
        <v>0</v>
      </c>
      <c r="I246" s="24">
        <f t="shared" ref="I246:I251" si="1">ROUND(F246*AP246,2)</f>
        <v>0</v>
      </c>
      <c r="J246" s="24">
        <f t="shared" ref="J246:J251" si="2">ROUND(F246*G246,2)</f>
        <v>0</v>
      </c>
      <c r="K246" s="25" t="s">
        <v>55</v>
      </c>
      <c r="Z246" s="24">
        <f t="shared" ref="Z246:Z251" si="3">ROUND(IF(AQ246="5",BJ246,0),2)</f>
        <v>0</v>
      </c>
      <c r="AB246" s="24">
        <f t="shared" ref="AB246:AB251" si="4">ROUND(IF(AQ246="1",BH246,0),2)</f>
        <v>0</v>
      </c>
      <c r="AC246" s="24">
        <f t="shared" ref="AC246:AC251" si="5">ROUND(IF(AQ246="1",BI246,0),2)</f>
        <v>0</v>
      </c>
      <c r="AD246" s="24">
        <f t="shared" ref="AD246:AD251" si="6">ROUND(IF(AQ246="7",BH246,0),2)</f>
        <v>0</v>
      </c>
      <c r="AE246" s="24">
        <f t="shared" ref="AE246:AE251" si="7">ROUND(IF(AQ246="7",BI246,0),2)</f>
        <v>0</v>
      </c>
      <c r="AF246" s="24">
        <f t="shared" ref="AF246:AF251" si="8">ROUND(IF(AQ246="2",BH246,0),2)</f>
        <v>0</v>
      </c>
      <c r="AG246" s="24">
        <f t="shared" ref="AG246:AG251" si="9">ROUND(IF(AQ246="2",BI246,0),2)</f>
        <v>0</v>
      </c>
      <c r="AH246" s="24">
        <f t="shared" ref="AH246:AH251" si="10">ROUND(IF(AQ246="0",BJ246,0),2)</f>
        <v>0</v>
      </c>
      <c r="AI246" s="10" t="s">
        <v>48</v>
      </c>
      <c r="AJ246" s="24">
        <f t="shared" ref="AJ246:AJ251" si="11">IF(AN246=0,J246,0)</f>
        <v>0</v>
      </c>
      <c r="AK246" s="24">
        <f t="shared" ref="AK246:AK251" si="12">IF(AN246=12,J246,0)</f>
        <v>0</v>
      </c>
      <c r="AL246" s="24">
        <f t="shared" ref="AL246:AL251" si="13">IF(AN246=21,J246,0)</f>
        <v>0</v>
      </c>
      <c r="AN246" s="24">
        <v>21</v>
      </c>
      <c r="AO246" s="24">
        <f>G246*1</f>
        <v>0</v>
      </c>
      <c r="AP246" s="24">
        <f>G246*(1-1)</f>
        <v>0</v>
      </c>
      <c r="AQ246" s="26" t="s">
        <v>63</v>
      </c>
      <c r="AV246" s="24">
        <f t="shared" ref="AV246:AV251" si="14">ROUND(AW246+AX246,2)</f>
        <v>0</v>
      </c>
      <c r="AW246" s="24">
        <f t="shared" ref="AW246:AW251" si="15">ROUND(F246*AO246,2)</f>
        <v>0</v>
      </c>
      <c r="AX246" s="24">
        <f t="shared" ref="AX246:AX251" si="16">ROUND(F246*AP246,2)</f>
        <v>0</v>
      </c>
      <c r="AY246" s="26" t="s">
        <v>551</v>
      </c>
      <c r="AZ246" s="26" t="s">
        <v>551</v>
      </c>
      <c r="BA246" s="10" t="s">
        <v>57</v>
      </c>
      <c r="BC246" s="24">
        <f t="shared" ref="BC246:BC251" si="17">AW246+AX246</f>
        <v>0</v>
      </c>
      <c r="BD246" s="24">
        <f t="shared" ref="BD246:BD251" si="18">G246/(100-BE246)*100</f>
        <v>0</v>
      </c>
      <c r="BE246" s="24">
        <v>0</v>
      </c>
      <c r="BF246" s="24">
        <f>246</f>
        <v>246</v>
      </c>
      <c r="BH246" s="24">
        <f t="shared" ref="BH246:BH251" si="19">F246*AO246</f>
        <v>0</v>
      </c>
      <c r="BI246" s="24">
        <f t="shared" ref="BI246:BI251" si="20">F246*AP246</f>
        <v>0</v>
      </c>
      <c r="BJ246" s="24">
        <f t="shared" ref="BJ246:BJ251" si="21">F246*G246</f>
        <v>0</v>
      </c>
      <c r="BK246" s="26" t="s">
        <v>224</v>
      </c>
      <c r="BL246" s="24"/>
      <c r="BW246" s="24">
        <v>21</v>
      </c>
      <c r="BX246" s="4" t="s">
        <v>555</v>
      </c>
    </row>
    <row r="247" spans="1:76" x14ac:dyDescent="0.25">
      <c r="A247" s="2" t="s">
        <v>556</v>
      </c>
      <c r="B247" s="3" t="s">
        <v>557</v>
      </c>
      <c r="C247" s="109" t="s">
        <v>558</v>
      </c>
      <c r="D247" s="106"/>
      <c r="E247" s="3" t="s">
        <v>152</v>
      </c>
      <c r="F247" s="24">
        <v>2</v>
      </c>
      <c r="G247" s="24">
        <v>0</v>
      </c>
      <c r="H247" s="24">
        <f t="shared" si="0"/>
        <v>0</v>
      </c>
      <c r="I247" s="24">
        <f t="shared" si="1"/>
        <v>0</v>
      </c>
      <c r="J247" s="24">
        <f t="shared" si="2"/>
        <v>0</v>
      </c>
      <c r="K247" s="25" t="s">
        <v>55</v>
      </c>
      <c r="Z247" s="24">
        <f t="shared" si="3"/>
        <v>0</v>
      </c>
      <c r="AB247" s="24">
        <f t="shared" si="4"/>
        <v>0</v>
      </c>
      <c r="AC247" s="24">
        <f t="shared" si="5"/>
        <v>0</v>
      </c>
      <c r="AD247" s="24">
        <f t="shared" si="6"/>
        <v>0</v>
      </c>
      <c r="AE247" s="24">
        <f t="shared" si="7"/>
        <v>0</v>
      </c>
      <c r="AF247" s="24">
        <f t="shared" si="8"/>
        <v>0</v>
      </c>
      <c r="AG247" s="24">
        <f t="shared" si="9"/>
        <v>0</v>
      </c>
      <c r="AH247" s="24">
        <f t="shared" si="10"/>
        <v>0</v>
      </c>
      <c r="AI247" s="10" t="s">
        <v>48</v>
      </c>
      <c r="AJ247" s="24">
        <f t="shared" si="11"/>
        <v>0</v>
      </c>
      <c r="AK247" s="24">
        <f t="shared" si="12"/>
        <v>0</v>
      </c>
      <c r="AL247" s="24">
        <f t="shared" si="13"/>
        <v>0</v>
      </c>
      <c r="AN247" s="24">
        <v>21</v>
      </c>
      <c r="AO247" s="24">
        <f>G247*0</f>
        <v>0</v>
      </c>
      <c r="AP247" s="24">
        <f>G247*(1-0)</f>
        <v>0</v>
      </c>
      <c r="AQ247" s="26" t="s">
        <v>63</v>
      </c>
      <c r="AV247" s="24">
        <f t="shared" si="14"/>
        <v>0</v>
      </c>
      <c r="AW247" s="24">
        <f t="shared" si="15"/>
        <v>0</v>
      </c>
      <c r="AX247" s="24">
        <f t="shared" si="16"/>
        <v>0</v>
      </c>
      <c r="AY247" s="26" t="s">
        <v>551</v>
      </c>
      <c r="AZ247" s="26" t="s">
        <v>551</v>
      </c>
      <c r="BA247" s="10" t="s">
        <v>57</v>
      </c>
      <c r="BC247" s="24">
        <f t="shared" si="17"/>
        <v>0</v>
      </c>
      <c r="BD247" s="24">
        <f t="shared" si="18"/>
        <v>0</v>
      </c>
      <c r="BE247" s="24">
        <v>0</v>
      </c>
      <c r="BF247" s="24">
        <f>247</f>
        <v>247</v>
      </c>
      <c r="BH247" s="24">
        <f t="shared" si="19"/>
        <v>0</v>
      </c>
      <c r="BI247" s="24">
        <f t="shared" si="20"/>
        <v>0</v>
      </c>
      <c r="BJ247" s="24">
        <f t="shared" si="21"/>
        <v>0</v>
      </c>
      <c r="BK247" s="26" t="s">
        <v>58</v>
      </c>
      <c r="BL247" s="24"/>
      <c r="BW247" s="24">
        <v>21</v>
      </c>
      <c r="BX247" s="4" t="s">
        <v>558</v>
      </c>
    </row>
    <row r="248" spans="1:76" x14ac:dyDescent="0.25">
      <c r="A248" s="2" t="s">
        <v>559</v>
      </c>
      <c r="B248" s="3" t="s">
        <v>560</v>
      </c>
      <c r="C248" s="109" t="s">
        <v>561</v>
      </c>
      <c r="D248" s="106"/>
      <c r="E248" s="3" t="s">
        <v>152</v>
      </c>
      <c r="F248" s="24">
        <v>2</v>
      </c>
      <c r="G248" s="24">
        <v>0</v>
      </c>
      <c r="H248" s="24">
        <f t="shared" si="0"/>
        <v>0</v>
      </c>
      <c r="I248" s="24">
        <f t="shared" si="1"/>
        <v>0</v>
      </c>
      <c r="J248" s="24">
        <f t="shared" si="2"/>
        <v>0</v>
      </c>
      <c r="K248" s="25" t="s">
        <v>55</v>
      </c>
      <c r="Z248" s="24">
        <f t="shared" si="3"/>
        <v>0</v>
      </c>
      <c r="AB248" s="24">
        <f t="shared" si="4"/>
        <v>0</v>
      </c>
      <c r="AC248" s="24">
        <f t="shared" si="5"/>
        <v>0</v>
      </c>
      <c r="AD248" s="24">
        <f t="shared" si="6"/>
        <v>0</v>
      </c>
      <c r="AE248" s="24">
        <f t="shared" si="7"/>
        <v>0</v>
      </c>
      <c r="AF248" s="24">
        <f t="shared" si="8"/>
        <v>0</v>
      </c>
      <c r="AG248" s="24">
        <f t="shared" si="9"/>
        <v>0</v>
      </c>
      <c r="AH248" s="24">
        <f t="shared" si="10"/>
        <v>0</v>
      </c>
      <c r="AI248" s="10" t="s">
        <v>48</v>
      </c>
      <c r="AJ248" s="24">
        <f t="shared" si="11"/>
        <v>0</v>
      </c>
      <c r="AK248" s="24">
        <f t="shared" si="12"/>
        <v>0</v>
      </c>
      <c r="AL248" s="24">
        <f t="shared" si="13"/>
        <v>0</v>
      </c>
      <c r="AN248" s="24">
        <v>21</v>
      </c>
      <c r="AO248" s="24">
        <f>G248*1</f>
        <v>0</v>
      </c>
      <c r="AP248" s="24">
        <f>G248*(1-1)</f>
        <v>0</v>
      </c>
      <c r="AQ248" s="26" t="s">
        <v>63</v>
      </c>
      <c r="AV248" s="24">
        <f t="shared" si="14"/>
        <v>0</v>
      </c>
      <c r="AW248" s="24">
        <f t="shared" si="15"/>
        <v>0</v>
      </c>
      <c r="AX248" s="24">
        <f t="shared" si="16"/>
        <v>0</v>
      </c>
      <c r="AY248" s="26" t="s">
        <v>551</v>
      </c>
      <c r="AZ248" s="26" t="s">
        <v>551</v>
      </c>
      <c r="BA248" s="10" t="s">
        <v>57</v>
      </c>
      <c r="BC248" s="24">
        <f t="shared" si="17"/>
        <v>0</v>
      </c>
      <c r="BD248" s="24">
        <f t="shared" si="18"/>
        <v>0</v>
      </c>
      <c r="BE248" s="24">
        <v>0</v>
      </c>
      <c r="BF248" s="24">
        <f>248</f>
        <v>248</v>
      </c>
      <c r="BH248" s="24">
        <f t="shared" si="19"/>
        <v>0</v>
      </c>
      <c r="BI248" s="24">
        <f t="shared" si="20"/>
        <v>0</v>
      </c>
      <c r="BJ248" s="24">
        <f t="shared" si="21"/>
        <v>0</v>
      </c>
      <c r="BK248" s="26" t="s">
        <v>224</v>
      </c>
      <c r="BL248" s="24"/>
      <c r="BW248" s="24">
        <v>21</v>
      </c>
      <c r="BX248" s="4" t="s">
        <v>561</v>
      </c>
    </row>
    <row r="249" spans="1:76" x14ac:dyDescent="0.25">
      <c r="A249" s="2" t="s">
        <v>562</v>
      </c>
      <c r="B249" s="3" t="s">
        <v>563</v>
      </c>
      <c r="C249" s="109" t="s">
        <v>564</v>
      </c>
      <c r="D249" s="106"/>
      <c r="E249" s="3" t="s">
        <v>152</v>
      </c>
      <c r="F249" s="24">
        <v>4</v>
      </c>
      <c r="G249" s="24">
        <v>0</v>
      </c>
      <c r="H249" s="24">
        <f t="shared" si="0"/>
        <v>0</v>
      </c>
      <c r="I249" s="24">
        <f t="shared" si="1"/>
        <v>0</v>
      </c>
      <c r="J249" s="24">
        <f t="shared" si="2"/>
        <v>0</v>
      </c>
      <c r="K249" s="25" t="s">
        <v>55</v>
      </c>
      <c r="Z249" s="24">
        <f t="shared" si="3"/>
        <v>0</v>
      </c>
      <c r="AB249" s="24">
        <f t="shared" si="4"/>
        <v>0</v>
      </c>
      <c r="AC249" s="24">
        <f t="shared" si="5"/>
        <v>0</v>
      </c>
      <c r="AD249" s="24">
        <f t="shared" si="6"/>
        <v>0</v>
      </c>
      <c r="AE249" s="24">
        <f t="shared" si="7"/>
        <v>0</v>
      </c>
      <c r="AF249" s="24">
        <f t="shared" si="8"/>
        <v>0</v>
      </c>
      <c r="AG249" s="24">
        <f t="shared" si="9"/>
        <v>0</v>
      </c>
      <c r="AH249" s="24">
        <f t="shared" si="10"/>
        <v>0</v>
      </c>
      <c r="AI249" s="10" t="s">
        <v>48</v>
      </c>
      <c r="AJ249" s="24">
        <f t="shared" si="11"/>
        <v>0</v>
      </c>
      <c r="AK249" s="24">
        <f t="shared" si="12"/>
        <v>0</v>
      </c>
      <c r="AL249" s="24">
        <f t="shared" si="13"/>
        <v>0</v>
      </c>
      <c r="AN249" s="24">
        <v>21</v>
      </c>
      <c r="AO249" s="24">
        <f>G249*0</f>
        <v>0</v>
      </c>
      <c r="AP249" s="24">
        <f>G249*(1-0)</f>
        <v>0</v>
      </c>
      <c r="AQ249" s="26" t="s">
        <v>63</v>
      </c>
      <c r="AV249" s="24">
        <f t="shared" si="14"/>
        <v>0</v>
      </c>
      <c r="AW249" s="24">
        <f t="shared" si="15"/>
        <v>0</v>
      </c>
      <c r="AX249" s="24">
        <f t="shared" si="16"/>
        <v>0</v>
      </c>
      <c r="AY249" s="26" t="s">
        <v>551</v>
      </c>
      <c r="AZ249" s="26" t="s">
        <v>551</v>
      </c>
      <c r="BA249" s="10" t="s">
        <v>57</v>
      </c>
      <c r="BC249" s="24">
        <f t="shared" si="17"/>
        <v>0</v>
      </c>
      <c r="BD249" s="24">
        <f t="shared" si="18"/>
        <v>0</v>
      </c>
      <c r="BE249" s="24">
        <v>0</v>
      </c>
      <c r="BF249" s="24">
        <f>249</f>
        <v>249</v>
      </c>
      <c r="BH249" s="24">
        <f t="shared" si="19"/>
        <v>0</v>
      </c>
      <c r="BI249" s="24">
        <f t="shared" si="20"/>
        <v>0</v>
      </c>
      <c r="BJ249" s="24">
        <f t="shared" si="21"/>
        <v>0</v>
      </c>
      <c r="BK249" s="26" t="s">
        <v>58</v>
      </c>
      <c r="BL249" s="24"/>
      <c r="BW249" s="24">
        <v>21</v>
      </c>
      <c r="BX249" s="4" t="s">
        <v>564</v>
      </c>
    </row>
    <row r="250" spans="1:76" x14ac:dyDescent="0.25">
      <c r="A250" s="2" t="s">
        <v>565</v>
      </c>
      <c r="B250" s="3" t="s">
        <v>566</v>
      </c>
      <c r="C250" s="109" t="s">
        <v>567</v>
      </c>
      <c r="D250" s="106"/>
      <c r="E250" s="3" t="s">
        <v>152</v>
      </c>
      <c r="F250" s="24">
        <v>4</v>
      </c>
      <c r="G250" s="24">
        <v>0</v>
      </c>
      <c r="H250" s="24">
        <f t="shared" si="0"/>
        <v>0</v>
      </c>
      <c r="I250" s="24">
        <f t="shared" si="1"/>
        <v>0</v>
      </c>
      <c r="J250" s="24">
        <f t="shared" si="2"/>
        <v>0</v>
      </c>
      <c r="K250" s="25" t="s">
        <v>55</v>
      </c>
      <c r="Z250" s="24">
        <f t="shared" si="3"/>
        <v>0</v>
      </c>
      <c r="AB250" s="24">
        <f t="shared" si="4"/>
        <v>0</v>
      </c>
      <c r="AC250" s="24">
        <f t="shared" si="5"/>
        <v>0</v>
      </c>
      <c r="AD250" s="24">
        <f t="shared" si="6"/>
        <v>0</v>
      </c>
      <c r="AE250" s="24">
        <f t="shared" si="7"/>
        <v>0</v>
      </c>
      <c r="AF250" s="24">
        <f t="shared" si="8"/>
        <v>0</v>
      </c>
      <c r="AG250" s="24">
        <f t="shared" si="9"/>
        <v>0</v>
      </c>
      <c r="AH250" s="24">
        <f t="shared" si="10"/>
        <v>0</v>
      </c>
      <c r="AI250" s="10" t="s">
        <v>48</v>
      </c>
      <c r="AJ250" s="24">
        <f t="shared" si="11"/>
        <v>0</v>
      </c>
      <c r="AK250" s="24">
        <f t="shared" si="12"/>
        <v>0</v>
      </c>
      <c r="AL250" s="24">
        <f t="shared" si="13"/>
        <v>0</v>
      </c>
      <c r="AN250" s="24">
        <v>21</v>
      </c>
      <c r="AO250" s="24">
        <f>G250*1</f>
        <v>0</v>
      </c>
      <c r="AP250" s="24">
        <f>G250*(1-1)</f>
        <v>0</v>
      </c>
      <c r="AQ250" s="26" t="s">
        <v>63</v>
      </c>
      <c r="AV250" s="24">
        <f t="shared" si="14"/>
        <v>0</v>
      </c>
      <c r="AW250" s="24">
        <f t="shared" si="15"/>
        <v>0</v>
      </c>
      <c r="AX250" s="24">
        <f t="shared" si="16"/>
        <v>0</v>
      </c>
      <c r="AY250" s="26" t="s">
        <v>551</v>
      </c>
      <c r="AZ250" s="26" t="s">
        <v>551</v>
      </c>
      <c r="BA250" s="10" t="s">
        <v>57</v>
      </c>
      <c r="BC250" s="24">
        <f t="shared" si="17"/>
        <v>0</v>
      </c>
      <c r="BD250" s="24">
        <f t="shared" si="18"/>
        <v>0</v>
      </c>
      <c r="BE250" s="24">
        <v>0</v>
      </c>
      <c r="BF250" s="24">
        <f>250</f>
        <v>250</v>
      </c>
      <c r="BH250" s="24">
        <f t="shared" si="19"/>
        <v>0</v>
      </c>
      <c r="BI250" s="24">
        <f t="shared" si="20"/>
        <v>0</v>
      </c>
      <c r="BJ250" s="24">
        <f t="shared" si="21"/>
        <v>0</v>
      </c>
      <c r="BK250" s="26" t="s">
        <v>224</v>
      </c>
      <c r="BL250" s="24"/>
      <c r="BW250" s="24">
        <v>21</v>
      </c>
      <c r="BX250" s="4" t="s">
        <v>567</v>
      </c>
    </row>
    <row r="251" spans="1:76" x14ac:dyDescent="0.25">
      <c r="A251" s="2" t="s">
        <v>568</v>
      </c>
      <c r="B251" s="3" t="s">
        <v>569</v>
      </c>
      <c r="C251" s="109" t="s">
        <v>570</v>
      </c>
      <c r="D251" s="106"/>
      <c r="E251" s="3" t="s">
        <v>152</v>
      </c>
      <c r="F251" s="24">
        <v>20</v>
      </c>
      <c r="G251" s="24">
        <v>0</v>
      </c>
      <c r="H251" s="24">
        <f t="shared" si="0"/>
        <v>0</v>
      </c>
      <c r="I251" s="24">
        <f t="shared" si="1"/>
        <v>0</v>
      </c>
      <c r="J251" s="24">
        <f t="shared" si="2"/>
        <v>0</v>
      </c>
      <c r="K251" s="25" t="s">
        <v>55</v>
      </c>
      <c r="Z251" s="24">
        <f t="shared" si="3"/>
        <v>0</v>
      </c>
      <c r="AB251" s="24">
        <f t="shared" si="4"/>
        <v>0</v>
      </c>
      <c r="AC251" s="24">
        <f t="shared" si="5"/>
        <v>0</v>
      </c>
      <c r="AD251" s="24">
        <f t="shared" si="6"/>
        <v>0</v>
      </c>
      <c r="AE251" s="24">
        <f t="shared" si="7"/>
        <v>0</v>
      </c>
      <c r="AF251" s="24">
        <f t="shared" si="8"/>
        <v>0</v>
      </c>
      <c r="AG251" s="24">
        <f t="shared" si="9"/>
        <v>0</v>
      </c>
      <c r="AH251" s="24">
        <f t="shared" si="10"/>
        <v>0</v>
      </c>
      <c r="AI251" s="10" t="s">
        <v>48</v>
      </c>
      <c r="AJ251" s="24">
        <f t="shared" si="11"/>
        <v>0</v>
      </c>
      <c r="AK251" s="24">
        <f t="shared" si="12"/>
        <v>0</v>
      </c>
      <c r="AL251" s="24">
        <f t="shared" si="13"/>
        <v>0</v>
      </c>
      <c r="AN251" s="24">
        <v>21</v>
      </c>
      <c r="AO251" s="24">
        <f>G251*0</f>
        <v>0</v>
      </c>
      <c r="AP251" s="24">
        <f>G251*(1-0)</f>
        <v>0</v>
      </c>
      <c r="AQ251" s="26" t="s">
        <v>63</v>
      </c>
      <c r="AV251" s="24">
        <f t="shared" si="14"/>
        <v>0</v>
      </c>
      <c r="AW251" s="24">
        <f t="shared" si="15"/>
        <v>0</v>
      </c>
      <c r="AX251" s="24">
        <f t="shared" si="16"/>
        <v>0</v>
      </c>
      <c r="AY251" s="26" t="s">
        <v>551</v>
      </c>
      <c r="AZ251" s="26" t="s">
        <v>551</v>
      </c>
      <c r="BA251" s="10" t="s">
        <v>57</v>
      </c>
      <c r="BC251" s="24">
        <f t="shared" si="17"/>
        <v>0</v>
      </c>
      <c r="BD251" s="24">
        <f t="shared" si="18"/>
        <v>0</v>
      </c>
      <c r="BE251" s="24">
        <v>0</v>
      </c>
      <c r="BF251" s="24">
        <f>251</f>
        <v>251</v>
      </c>
      <c r="BH251" s="24">
        <f t="shared" si="19"/>
        <v>0</v>
      </c>
      <c r="BI251" s="24">
        <f t="shared" si="20"/>
        <v>0</v>
      </c>
      <c r="BJ251" s="24">
        <f t="shared" si="21"/>
        <v>0</v>
      </c>
      <c r="BK251" s="26" t="s">
        <v>58</v>
      </c>
      <c r="BL251" s="24"/>
      <c r="BW251" s="24">
        <v>21</v>
      </c>
      <c r="BX251" s="4" t="s">
        <v>570</v>
      </c>
    </row>
    <row r="252" spans="1:76" x14ac:dyDescent="0.25">
      <c r="A252" s="27"/>
      <c r="C252" s="28" t="s">
        <v>154</v>
      </c>
      <c r="D252" s="28" t="s">
        <v>571</v>
      </c>
      <c r="F252" s="29">
        <v>20</v>
      </c>
      <c r="K252" s="30"/>
    </row>
    <row r="253" spans="1:76" x14ac:dyDescent="0.25">
      <c r="A253" s="2" t="s">
        <v>572</v>
      </c>
      <c r="B253" s="3" t="s">
        <v>573</v>
      </c>
      <c r="C253" s="109" t="s">
        <v>574</v>
      </c>
      <c r="D253" s="106"/>
      <c r="E253" s="3" t="s">
        <v>152</v>
      </c>
      <c r="F253" s="24">
        <v>15</v>
      </c>
      <c r="G253" s="24">
        <v>0</v>
      </c>
      <c r="H253" s="24">
        <f>ROUND(F253*AO253,2)</f>
        <v>0</v>
      </c>
      <c r="I253" s="24">
        <f>ROUND(F253*AP253,2)</f>
        <v>0</v>
      </c>
      <c r="J253" s="24">
        <f>ROUND(F253*G253,2)</f>
        <v>0</v>
      </c>
      <c r="K253" s="25" t="s">
        <v>55</v>
      </c>
      <c r="Z253" s="24">
        <f>ROUND(IF(AQ253="5",BJ253,0),2)</f>
        <v>0</v>
      </c>
      <c r="AB253" s="24">
        <f>ROUND(IF(AQ253="1",BH253,0),2)</f>
        <v>0</v>
      </c>
      <c r="AC253" s="24">
        <f>ROUND(IF(AQ253="1",BI253,0),2)</f>
        <v>0</v>
      </c>
      <c r="AD253" s="24">
        <f>ROUND(IF(AQ253="7",BH253,0),2)</f>
        <v>0</v>
      </c>
      <c r="AE253" s="24">
        <f>ROUND(IF(AQ253="7",BI253,0),2)</f>
        <v>0</v>
      </c>
      <c r="AF253" s="24">
        <f>ROUND(IF(AQ253="2",BH253,0),2)</f>
        <v>0</v>
      </c>
      <c r="AG253" s="24">
        <f>ROUND(IF(AQ253="2",BI253,0),2)</f>
        <v>0</v>
      </c>
      <c r="AH253" s="24">
        <f>ROUND(IF(AQ253="0",BJ253,0),2)</f>
        <v>0</v>
      </c>
      <c r="AI253" s="10" t="s">
        <v>48</v>
      </c>
      <c r="AJ253" s="24">
        <f>IF(AN253=0,J253,0)</f>
        <v>0</v>
      </c>
      <c r="AK253" s="24">
        <f>IF(AN253=12,J253,0)</f>
        <v>0</v>
      </c>
      <c r="AL253" s="24">
        <f>IF(AN253=21,J253,0)</f>
        <v>0</v>
      </c>
      <c r="AN253" s="24">
        <v>21</v>
      </c>
      <c r="AO253" s="24">
        <f>G253*0</f>
        <v>0</v>
      </c>
      <c r="AP253" s="24">
        <f>G253*(1-0)</f>
        <v>0</v>
      </c>
      <c r="AQ253" s="26" t="s">
        <v>63</v>
      </c>
      <c r="AV253" s="24">
        <f>ROUND(AW253+AX253,2)</f>
        <v>0</v>
      </c>
      <c r="AW253" s="24">
        <f>ROUND(F253*AO253,2)</f>
        <v>0</v>
      </c>
      <c r="AX253" s="24">
        <f>ROUND(F253*AP253,2)</f>
        <v>0</v>
      </c>
      <c r="AY253" s="26" t="s">
        <v>551</v>
      </c>
      <c r="AZ253" s="26" t="s">
        <v>551</v>
      </c>
      <c r="BA253" s="10" t="s">
        <v>57</v>
      </c>
      <c r="BC253" s="24">
        <f>AW253+AX253</f>
        <v>0</v>
      </c>
      <c r="BD253" s="24">
        <f>G253/(100-BE253)*100</f>
        <v>0</v>
      </c>
      <c r="BE253" s="24">
        <v>0</v>
      </c>
      <c r="BF253" s="24">
        <f>253</f>
        <v>253</v>
      </c>
      <c r="BH253" s="24">
        <f>F253*AO253</f>
        <v>0</v>
      </c>
      <c r="BI253" s="24">
        <f>F253*AP253</f>
        <v>0</v>
      </c>
      <c r="BJ253" s="24">
        <f>F253*G253</f>
        <v>0</v>
      </c>
      <c r="BK253" s="26" t="s">
        <v>58</v>
      </c>
      <c r="BL253" s="24"/>
      <c r="BW253" s="24">
        <v>21</v>
      </c>
      <c r="BX253" s="4" t="s">
        <v>574</v>
      </c>
    </row>
    <row r="254" spans="1:76" x14ac:dyDescent="0.25">
      <c r="A254" s="27"/>
      <c r="C254" s="28" t="s">
        <v>130</v>
      </c>
      <c r="D254" s="28" t="s">
        <v>575</v>
      </c>
      <c r="F254" s="29">
        <v>15</v>
      </c>
      <c r="K254" s="30"/>
    </row>
    <row r="255" spans="1:76" x14ac:dyDescent="0.25">
      <c r="A255" s="2" t="s">
        <v>576</v>
      </c>
      <c r="B255" s="3" t="s">
        <v>577</v>
      </c>
      <c r="C255" s="109" t="s">
        <v>578</v>
      </c>
      <c r="D255" s="106"/>
      <c r="E255" s="3" t="s">
        <v>152</v>
      </c>
      <c r="F255" s="24">
        <v>15</v>
      </c>
      <c r="G255" s="24">
        <v>0</v>
      </c>
      <c r="H255" s="24">
        <f t="shared" ref="H255:H269" si="22">ROUND(F255*AO255,2)</f>
        <v>0</v>
      </c>
      <c r="I255" s="24">
        <f t="shared" ref="I255:I269" si="23">ROUND(F255*AP255,2)</f>
        <v>0</v>
      </c>
      <c r="J255" s="24">
        <f t="shared" ref="J255:J269" si="24">ROUND(F255*G255,2)</f>
        <v>0</v>
      </c>
      <c r="K255" s="25" t="s">
        <v>55</v>
      </c>
      <c r="Z255" s="24">
        <f t="shared" ref="Z255:Z269" si="25">ROUND(IF(AQ255="5",BJ255,0),2)</f>
        <v>0</v>
      </c>
      <c r="AB255" s="24">
        <f t="shared" ref="AB255:AB269" si="26">ROUND(IF(AQ255="1",BH255,0),2)</f>
        <v>0</v>
      </c>
      <c r="AC255" s="24">
        <f t="shared" ref="AC255:AC269" si="27">ROUND(IF(AQ255="1",BI255,0),2)</f>
        <v>0</v>
      </c>
      <c r="AD255" s="24">
        <f t="shared" ref="AD255:AD269" si="28">ROUND(IF(AQ255="7",BH255,0),2)</f>
        <v>0</v>
      </c>
      <c r="AE255" s="24">
        <f t="shared" ref="AE255:AE269" si="29">ROUND(IF(AQ255="7",BI255,0),2)</f>
        <v>0</v>
      </c>
      <c r="AF255" s="24">
        <f t="shared" ref="AF255:AF269" si="30">ROUND(IF(AQ255="2",BH255,0),2)</f>
        <v>0</v>
      </c>
      <c r="AG255" s="24">
        <f t="shared" ref="AG255:AG269" si="31">ROUND(IF(AQ255="2",BI255,0),2)</f>
        <v>0</v>
      </c>
      <c r="AH255" s="24">
        <f t="shared" ref="AH255:AH269" si="32">ROUND(IF(AQ255="0",BJ255,0),2)</f>
        <v>0</v>
      </c>
      <c r="AI255" s="10" t="s">
        <v>48</v>
      </c>
      <c r="AJ255" s="24">
        <f t="shared" ref="AJ255:AJ269" si="33">IF(AN255=0,J255,0)</f>
        <v>0</v>
      </c>
      <c r="AK255" s="24">
        <f t="shared" ref="AK255:AK269" si="34">IF(AN255=12,J255,0)</f>
        <v>0</v>
      </c>
      <c r="AL255" s="24">
        <f t="shared" ref="AL255:AL269" si="35">IF(AN255=21,J255,0)</f>
        <v>0</v>
      </c>
      <c r="AN255" s="24">
        <v>21</v>
      </c>
      <c r="AO255" s="24">
        <f>G255*1</f>
        <v>0</v>
      </c>
      <c r="AP255" s="24">
        <f>G255*(1-1)</f>
        <v>0</v>
      </c>
      <c r="AQ255" s="26" t="s">
        <v>63</v>
      </c>
      <c r="AV255" s="24">
        <f t="shared" ref="AV255:AV269" si="36">ROUND(AW255+AX255,2)</f>
        <v>0</v>
      </c>
      <c r="AW255" s="24">
        <f t="shared" ref="AW255:AW269" si="37">ROUND(F255*AO255,2)</f>
        <v>0</v>
      </c>
      <c r="AX255" s="24">
        <f t="shared" ref="AX255:AX269" si="38">ROUND(F255*AP255,2)</f>
        <v>0</v>
      </c>
      <c r="AY255" s="26" t="s">
        <v>551</v>
      </c>
      <c r="AZ255" s="26" t="s">
        <v>551</v>
      </c>
      <c r="BA255" s="10" t="s">
        <v>57</v>
      </c>
      <c r="BC255" s="24">
        <f t="shared" ref="BC255:BC269" si="39">AW255+AX255</f>
        <v>0</v>
      </c>
      <c r="BD255" s="24">
        <f t="shared" ref="BD255:BD269" si="40">G255/(100-BE255)*100</f>
        <v>0</v>
      </c>
      <c r="BE255" s="24">
        <v>0</v>
      </c>
      <c r="BF255" s="24">
        <f>255</f>
        <v>255</v>
      </c>
      <c r="BH255" s="24">
        <f t="shared" ref="BH255:BH269" si="41">F255*AO255</f>
        <v>0</v>
      </c>
      <c r="BI255" s="24">
        <f t="shared" ref="BI255:BI269" si="42">F255*AP255</f>
        <v>0</v>
      </c>
      <c r="BJ255" s="24">
        <f t="shared" ref="BJ255:BJ269" si="43">F255*G255</f>
        <v>0</v>
      </c>
      <c r="BK255" s="26" t="s">
        <v>224</v>
      </c>
      <c r="BL255" s="24"/>
      <c r="BW255" s="24">
        <v>21</v>
      </c>
      <c r="BX255" s="4" t="s">
        <v>578</v>
      </c>
    </row>
    <row r="256" spans="1:76" x14ac:dyDescent="0.25">
      <c r="A256" s="2" t="s">
        <v>579</v>
      </c>
      <c r="B256" s="3" t="s">
        <v>580</v>
      </c>
      <c r="C256" s="109" t="s">
        <v>581</v>
      </c>
      <c r="D256" s="106"/>
      <c r="E256" s="3" t="s">
        <v>152</v>
      </c>
      <c r="F256" s="24">
        <v>1</v>
      </c>
      <c r="G256" s="24">
        <v>0</v>
      </c>
      <c r="H256" s="24">
        <f t="shared" si="22"/>
        <v>0</v>
      </c>
      <c r="I256" s="24">
        <f t="shared" si="23"/>
        <v>0</v>
      </c>
      <c r="J256" s="24">
        <f t="shared" si="24"/>
        <v>0</v>
      </c>
      <c r="K256" s="25" t="s">
        <v>55</v>
      </c>
      <c r="Z256" s="24">
        <f t="shared" si="25"/>
        <v>0</v>
      </c>
      <c r="AB256" s="24">
        <f t="shared" si="26"/>
        <v>0</v>
      </c>
      <c r="AC256" s="24">
        <f t="shared" si="27"/>
        <v>0</v>
      </c>
      <c r="AD256" s="24">
        <f t="shared" si="28"/>
        <v>0</v>
      </c>
      <c r="AE256" s="24">
        <f t="shared" si="29"/>
        <v>0</v>
      </c>
      <c r="AF256" s="24">
        <f t="shared" si="30"/>
        <v>0</v>
      </c>
      <c r="AG256" s="24">
        <f t="shared" si="31"/>
        <v>0</v>
      </c>
      <c r="AH256" s="24">
        <f t="shared" si="32"/>
        <v>0</v>
      </c>
      <c r="AI256" s="10" t="s">
        <v>48</v>
      </c>
      <c r="AJ256" s="24">
        <f t="shared" si="33"/>
        <v>0</v>
      </c>
      <c r="AK256" s="24">
        <f t="shared" si="34"/>
        <v>0</v>
      </c>
      <c r="AL256" s="24">
        <f t="shared" si="35"/>
        <v>0</v>
      </c>
      <c r="AN256" s="24">
        <v>21</v>
      </c>
      <c r="AO256" s="24">
        <f>G256*0</f>
        <v>0</v>
      </c>
      <c r="AP256" s="24">
        <f>G256*(1-0)</f>
        <v>0</v>
      </c>
      <c r="AQ256" s="26" t="s">
        <v>63</v>
      </c>
      <c r="AV256" s="24">
        <f t="shared" si="36"/>
        <v>0</v>
      </c>
      <c r="AW256" s="24">
        <f t="shared" si="37"/>
        <v>0</v>
      </c>
      <c r="AX256" s="24">
        <f t="shared" si="38"/>
        <v>0</v>
      </c>
      <c r="AY256" s="26" t="s">
        <v>551</v>
      </c>
      <c r="AZ256" s="26" t="s">
        <v>551</v>
      </c>
      <c r="BA256" s="10" t="s">
        <v>57</v>
      </c>
      <c r="BC256" s="24">
        <f t="shared" si="39"/>
        <v>0</v>
      </c>
      <c r="BD256" s="24">
        <f t="shared" si="40"/>
        <v>0</v>
      </c>
      <c r="BE256" s="24">
        <v>0</v>
      </c>
      <c r="BF256" s="24">
        <f>256</f>
        <v>256</v>
      </c>
      <c r="BH256" s="24">
        <f t="shared" si="41"/>
        <v>0</v>
      </c>
      <c r="BI256" s="24">
        <f t="shared" si="42"/>
        <v>0</v>
      </c>
      <c r="BJ256" s="24">
        <f t="shared" si="43"/>
        <v>0</v>
      </c>
      <c r="BK256" s="26" t="s">
        <v>58</v>
      </c>
      <c r="BL256" s="24"/>
      <c r="BW256" s="24">
        <v>21</v>
      </c>
      <c r="BX256" s="4" t="s">
        <v>581</v>
      </c>
    </row>
    <row r="257" spans="1:76" x14ac:dyDescent="0.25">
      <c r="A257" s="2" t="s">
        <v>582</v>
      </c>
      <c r="B257" s="3" t="s">
        <v>583</v>
      </c>
      <c r="C257" s="109" t="s">
        <v>584</v>
      </c>
      <c r="D257" s="106"/>
      <c r="E257" s="3" t="s">
        <v>152</v>
      </c>
      <c r="F257" s="24">
        <v>1</v>
      </c>
      <c r="G257" s="24">
        <v>0</v>
      </c>
      <c r="H257" s="24">
        <f t="shared" si="22"/>
        <v>0</v>
      </c>
      <c r="I257" s="24">
        <f t="shared" si="23"/>
        <v>0</v>
      </c>
      <c r="J257" s="24">
        <f t="shared" si="24"/>
        <v>0</v>
      </c>
      <c r="K257" s="25" t="s">
        <v>55</v>
      </c>
      <c r="Z257" s="24">
        <f t="shared" si="25"/>
        <v>0</v>
      </c>
      <c r="AB257" s="24">
        <f t="shared" si="26"/>
        <v>0</v>
      </c>
      <c r="AC257" s="24">
        <f t="shared" si="27"/>
        <v>0</v>
      </c>
      <c r="AD257" s="24">
        <f t="shared" si="28"/>
        <v>0</v>
      </c>
      <c r="AE257" s="24">
        <f t="shared" si="29"/>
        <v>0</v>
      </c>
      <c r="AF257" s="24">
        <f t="shared" si="30"/>
        <v>0</v>
      </c>
      <c r="AG257" s="24">
        <f t="shared" si="31"/>
        <v>0</v>
      </c>
      <c r="AH257" s="24">
        <f t="shared" si="32"/>
        <v>0</v>
      </c>
      <c r="AI257" s="10" t="s">
        <v>48</v>
      </c>
      <c r="AJ257" s="24">
        <f t="shared" si="33"/>
        <v>0</v>
      </c>
      <c r="AK257" s="24">
        <f t="shared" si="34"/>
        <v>0</v>
      </c>
      <c r="AL257" s="24">
        <f t="shared" si="35"/>
        <v>0</v>
      </c>
      <c r="AN257" s="24">
        <v>21</v>
      </c>
      <c r="AO257" s="24">
        <f>G257*1</f>
        <v>0</v>
      </c>
      <c r="AP257" s="24">
        <f>G257*(1-1)</f>
        <v>0</v>
      </c>
      <c r="AQ257" s="26" t="s">
        <v>63</v>
      </c>
      <c r="AV257" s="24">
        <f t="shared" si="36"/>
        <v>0</v>
      </c>
      <c r="AW257" s="24">
        <f t="shared" si="37"/>
        <v>0</v>
      </c>
      <c r="AX257" s="24">
        <f t="shared" si="38"/>
        <v>0</v>
      </c>
      <c r="AY257" s="26" t="s">
        <v>551</v>
      </c>
      <c r="AZ257" s="26" t="s">
        <v>551</v>
      </c>
      <c r="BA257" s="10" t="s">
        <v>57</v>
      </c>
      <c r="BC257" s="24">
        <f t="shared" si="39"/>
        <v>0</v>
      </c>
      <c r="BD257" s="24">
        <f t="shared" si="40"/>
        <v>0</v>
      </c>
      <c r="BE257" s="24">
        <v>0</v>
      </c>
      <c r="BF257" s="24">
        <f>257</f>
        <v>257</v>
      </c>
      <c r="BH257" s="24">
        <f t="shared" si="41"/>
        <v>0</v>
      </c>
      <c r="BI257" s="24">
        <f t="shared" si="42"/>
        <v>0</v>
      </c>
      <c r="BJ257" s="24">
        <f t="shared" si="43"/>
        <v>0</v>
      </c>
      <c r="BK257" s="26" t="s">
        <v>224</v>
      </c>
      <c r="BL257" s="24"/>
      <c r="BW257" s="24">
        <v>21</v>
      </c>
      <c r="BX257" s="4" t="s">
        <v>584</v>
      </c>
    </row>
    <row r="258" spans="1:76" x14ac:dyDescent="0.25">
      <c r="A258" s="2" t="s">
        <v>585</v>
      </c>
      <c r="B258" s="3" t="s">
        <v>586</v>
      </c>
      <c r="C258" s="109" t="s">
        <v>587</v>
      </c>
      <c r="D258" s="106"/>
      <c r="E258" s="3" t="s">
        <v>152</v>
      </c>
      <c r="F258" s="24">
        <v>1</v>
      </c>
      <c r="G258" s="24">
        <v>0</v>
      </c>
      <c r="H258" s="24">
        <f t="shared" si="22"/>
        <v>0</v>
      </c>
      <c r="I258" s="24">
        <f t="shared" si="23"/>
        <v>0</v>
      </c>
      <c r="J258" s="24">
        <f t="shared" si="24"/>
        <v>0</v>
      </c>
      <c r="K258" s="25" t="s">
        <v>55</v>
      </c>
      <c r="Z258" s="24">
        <f t="shared" si="25"/>
        <v>0</v>
      </c>
      <c r="AB258" s="24">
        <f t="shared" si="26"/>
        <v>0</v>
      </c>
      <c r="AC258" s="24">
        <f t="shared" si="27"/>
        <v>0</v>
      </c>
      <c r="AD258" s="24">
        <f t="shared" si="28"/>
        <v>0</v>
      </c>
      <c r="AE258" s="24">
        <f t="shared" si="29"/>
        <v>0</v>
      </c>
      <c r="AF258" s="24">
        <f t="shared" si="30"/>
        <v>0</v>
      </c>
      <c r="AG258" s="24">
        <f t="shared" si="31"/>
        <v>0</v>
      </c>
      <c r="AH258" s="24">
        <f t="shared" si="32"/>
        <v>0</v>
      </c>
      <c r="AI258" s="10" t="s">
        <v>48</v>
      </c>
      <c r="AJ258" s="24">
        <f t="shared" si="33"/>
        <v>0</v>
      </c>
      <c r="AK258" s="24">
        <f t="shared" si="34"/>
        <v>0</v>
      </c>
      <c r="AL258" s="24">
        <f t="shared" si="35"/>
        <v>0</v>
      </c>
      <c r="AN258" s="24">
        <v>21</v>
      </c>
      <c r="AO258" s="24">
        <f>G258*1</f>
        <v>0</v>
      </c>
      <c r="AP258" s="24">
        <f>G258*(1-1)</f>
        <v>0</v>
      </c>
      <c r="AQ258" s="26" t="s">
        <v>63</v>
      </c>
      <c r="AV258" s="24">
        <f t="shared" si="36"/>
        <v>0</v>
      </c>
      <c r="AW258" s="24">
        <f t="shared" si="37"/>
        <v>0</v>
      </c>
      <c r="AX258" s="24">
        <f t="shared" si="38"/>
        <v>0</v>
      </c>
      <c r="AY258" s="26" t="s">
        <v>551</v>
      </c>
      <c r="AZ258" s="26" t="s">
        <v>551</v>
      </c>
      <c r="BA258" s="10" t="s">
        <v>57</v>
      </c>
      <c r="BC258" s="24">
        <f t="shared" si="39"/>
        <v>0</v>
      </c>
      <c r="BD258" s="24">
        <f t="shared" si="40"/>
        <v>0</v>
      </c>
      <c r="BE258" s="24">
        <v>0</v>
      </c>
      <c r="BF258" s="24">
        <f>258</f>
        <v>258</v>
      </c>
      <c r="BH258" s="24">
        <f t="shared" si="41"/>
        <v>0</v>
      </c>
      <c r="BI258" s="24">
        <f t="shared" si="42"/>
        <v>0</v>
      </c>
      <c r="BJ258" s="24">
        <f t="shared" si="43"/>
        <v>0</v>
      </c>
      <c r="BK258" s="26" t="s">
        <v>224</v>
      </c>
      <c r="BL258" s="24"/>
      <c r="BW258" s="24">
        <v>21</v>
      </c>
      <c r="BX258" s="4" t="s">
        <v>587</v>
      </c>
    </row>
    <row r="259" spans="1:76" x14ac:dyDescent="0.25">
      <c r="A259" s="2" t="s">
        <v>588</v>
      </c>
      <c r="B259" s="3" t="s">
        <v>589</v>
      </c>
      <c r="C259" s="109" t="s">
        <v>590</v>
      </c>
      <c r="D259" s="106"/>
      <c r="E259" s="3" t="s">
        <v>152</v>
      </c>
      <c r="F259" s="24">
        <v>3</v>
      </c>
      <c r="G259" s="24">
        <v>0</v>
      </c>
      <c r="H259" s="24">
        <f t="shared" si="22"/>
        <v>0</v>
      </c>
      <c r="I259" s="24">
        <f t="shared" si="23"/>
        <v>0</v>
      </c>
      <c r="J259" s="24">
        <f t="shared" si="24"/>
        <v>0</v>
      </c>
      <c r="K259" s="25" t="s">
        <v>55</v>
      </c>
      <c r="Z259" s="24">
        <f t="shared" si="25"/>
        <v>0</v>
      </c>
      <c r="AB259" s="24">
        <f t="shared" si="26"/>
        <v>0</v>
      </c>
      <c r="AC259" s="24">
        <f t="shared" si="27"/>
        <v>0</v>
      </c>
      <c r="AD259" s="24">
        <f t="shared" si="28"/>
        <v>0</v>
      </c>
      <c r="AE259" s="24">
        <f t="shared" si="29"/>
        <v>0</v>
      </c>
      <c r="AF259" s="24">
        <f t="shared" si="30"/>
        <v>0</v>
      </c>
      <c r="AG259" s="24">
        <f t="shared" si="31"/>
        <v>0</v>
      </c>
      <c r="AH259" s="24">
        <f t="shared" si="32"/>
        <v>0</v>
      </c>
      <c r="AI259" s="10" t="s">
        <v>48</v>
      </c>
      <c r="AJ259" s="24">
        <f t="shared" si="33"/>
        <v>0</v>
      </c>
      <c r="AK259" s="24">
        <f t="shared" si="34"/>
        <v>0</v>
      </c>
      <c r="AL259" s="24">
        <f t="shared" si="35"/>
        <v>0</v>
      </c>
      <c r="AN259" s="24">
        <v>21</v>
      </c>
      <c r="AO259" s="24">
        <f>G259*0</f>
        <v>0</v>
      </c>
      <c r="AP259" s="24">
        <f>G259*(1-0)</f>
        <v>0</v>
      </c>
      <c r="AQ259" s="26" t="s">
        <v>63</v>
      </c>
      <c r="AV259" s="24">
        <f t="shared" si="36"/>
        <v>0</v>
      </c>
      <c r="AW259" s="24">
        <f t="shared" si="37"/>
        <v>0</v>
      </c>
      <c r="AX259" s="24">
        <f t="shared" si="38"/>
        <v>0</v>
      </c>
      <c r="AY259" s="26" t="s">
        <v>551</v>
      </c>
      <c r="AZ259" s="26" t="s">
        <v>551</v>
      </c>
      <c r="BA259" s="10" t="s">
        <v>57</v>
      </c>
      <c r="BC259" s="24">
        <f t="shared" si="39"/>
        <v>0</v>
      </c>
      <c r="BD259" s="24">
        <f t="shared" si="40"/>
        <v>0</v>
      </c>
      <c r="BE259" s="24">
        <v>0</v>
      </c>
      <c r="BF259" s="24">
        <f>259</f>
        <v>259</v>
      </c>
      <c r="BH259" s="24">
        <f t="shared" si="41"/>
        <v>0</v>
      </c>
      <c r="BI259" s="24">
        <f t="shared" si="42"/>
        <v>0</v>
      </c>
      <c r="BJ259" s="24">
        <f t="shared" si="43"/>
        <v>0</v>
      </c>
      <c r="BK259" s="26" t="s">
        <v>58</v>
      </c>
      <c r="BL259" s="24"/>
      <c r="BW259" s="24">
        <v>21</v>
      </c>
      <c r="BX259" s="4" t="s">
        <v>590</v>
      </c>
    </row>
    <row r="260" spans="1:76" x14ac:dyDescent="0.25">
      <c r="A260" s="2" t="s">
        <v>591</v>
      </c>
      <c r="B260" s="3" t="s">
        <v>592</v>
      </c>
      <c r="C260" s="109" t="s">
        <v>593</v>
      </c>
      <c r="D260" s="106"/>
      <c r="E260" s="3" t="s">
        <v>152</v>
      </c>
      <c r="F260" s="24">
        <v>3</v>
      </c>
      <c r="G260" s="24">
        <v>0</v>
      </c>
      <c r="H260" s="24">
        <f t="shared" si="22"/>
        <v>0</v>
      </c>
      <c r="I260" s="24">
        <f t="shared" si="23"/>
        <v>0</v>
      </c>
      <c r="J260" s="24">
        <f t="shared" si="24"/>
        <v>0</v>
      </c>
      <c r="K260" s="25" t="s">
        <v>55</v>
      </c>
      <c r="Z260" s="24">
        <f t="shared" si="25"/>
        <v>0</v>
      </c>
      <c r="AB260" s="24">
        <f t="shared" si="26"/>
        <v>0</v>
      </c>
      <c r="AC260" s="24">
        <f t="shared" si="27"/>
        <v>0</v>
      </c>
      <c r="AD260" s="24">
        <f t="shared" si="28"/>
        <v>0</v>
      </c>
      <c r="AE260" s="24">
        <f t="shared" si="29"/>
        <v>0</v>
      </c>
      <c r="AF260" s="24">
        <f t="shared" si="30"/>
        <v>0</v>
      </c>
      <c r="AG260" s="24">
        <f t="shared" si="31"/>
        <v>0</v>
      </c>
      <c r="AH260" s="24">
        <f t="shared" si="32"/>
        <v>0</v>
      </c>
      <c r="AI260" s="10" t="s">
        <v>48</v>
      </c>
      <c r="AJ260" s="24">
        <f t="shared" si="33"/>
        <v>0</v>
      </c>
      <c r="AK260" s="24">
        <f t="shared" si="34"/>
        <v>0</v>
      </c>
      <c r="AL260" s="24">
        <f t="shared" si="35"/>
        <v>0</v>
      </c>
      <c r="AN260" s="24">
        <v>21</v>
      </c>
      <c r="AO260" s="24">
        <f>G260*1</f>
        <v>0</v>
      </c>
      <c r="AP260" s="24">
        <f>G260*(1-1)</f>
        <v>0</v>
      </c>
      <c r="AQ260" s="26" t="s">
        <v>63</v>
      </c>
      <c r="AV260" s="24">
        <f t="shared" si="36"/>
        <v>0</v>
      </c>
      <c r="AW260" s="24">
        <f t="shared" si="37"/>
        <v>0</v>
      </c>
      <c r="AX260" s="24">
        <f t="shared" si="38"/>
        <v>0</v>
      </c>
      <c r="AY260" s="26" t="s">
        <v>551</v>
      </c>
      <c r="AZ260" s="26" t="s">
        <v>551</v>
      </c>
      <c r="BA260" s="10" t="s">
        <v>57</v>
      </c>
      <c r="BC260" s="24">
        <f t="shared" si="39"/>
        <v>0</v>
      </c>
      <c r="BD260" s="24">
        <f t="shared" si="40"/>
        <v>0</v>
      </c>
      <c r="BE260" s="24">
        <v>0</v>
      </c>
      <c r="BF260" s="24">
        <f>260</f>
        <v>260</v>
      </c>
      <c r="BH260" s="24">
        <f t="shared" si="41"/>
        <v>0</v>
      </c>
      <c r="BI260" s="24">
        <f t="shared" si="42"/>
        <v>0</v>
      </c>
      <c r="BJ260" s="24">
        <f t="shared" si="43"/>
        <v>0</v>
      </c>
      <c r="BK260" s="26" t="s">
        <v>224</v>
      </c>
      <c r="BL260" s="24"/>
      <c r="BW260" s="24">
        <v>21</v>
      </c>
      <c r="BX260" s="4" t="s">
        <v>593</v>
      </c>
    </row>
    <row r="261" spans="1:76" x14ac:dyDescent="0.25">
      <c r="A261" s="2" t="s">
        <v>594</v>
      </c>
      <c r="B261" s="3" t="s">
        <v>586</v>
      </c>
      <c r="C261" s="109" t="s">
        <v>587</v>
      </c>
      <c r="D261" s="106"/>
      <c r="E261" s="3" t="s">
        <v>152</v>
      </c>
      <c r="F261" s="24">
        <v>3</v>
      </c>
      <c r="G261" s="24">
        <v>0</v>
      </c>
      <c r="H261" s="24">
        <f t="shared" si="22"/>
        <v>0</v>
      </c>
      <c r="I261" s="24">
        <f t="shared" si="23"/>
        <v>0</v>
      </c>
      <c r="J261" s="24">
        <f t="shared" si="24"/>
        <v>0</v>
      </c>
      <c r="K261" s="25" t="s">
        <v>55</v>
      </c>
      <c r="Z261" s="24">
        <f t="shared" si="25"/>
        <v>0</v>
      </c>
      <c r="AB261" s="24">
        <f t="shared" si="26"/>
        <v>0</v>
      </c>
      <c r="AC261" s="24">
        <f t="shared" si="27"/>
        <v>0</v>
      </c>
      <c r="AD261" s="24">
        <f t="shared" si="28"/>
        <v>0</v>
      </c>
      <c r="AE261" s="24">
        <f t="shared" si="29"/>
        <v>0</v>
      </c>
      <c r="AF261" s="24">
        <f t="shared" si="30"/>
        <v>0</v>
      </c>
      <c r="AG261" s="24">
        <f t="shared" si="31"/>
        <v>0</v>
      </c>
      <c r="AH261" s="24">
        <f t="shared" si="32"/>
        <v>0</v>
      </c>
      <c r="AI261" s="10" t="s">
        <v>48</v>
      </c>
      <c r="AJ261" s="24">
        <f t="shared" si="33"/>
        <v>0</v>
      </c>
      <c r="AK261" s="24">
        <f t="shared" si="34"/>
        <v>0</v>
      </c>
      <c r="AL261" s="24">
        <f t="shared" si="35"/>
        <v>0</v>
      </c>
      <c r="AN261" s="24">
        <v>21</v>
      </c>
      <c r="AO261" s="24">
        <f>G261*1</f>
        <v>0</v>
      </c>
      <c r="AP261" s="24">
        <f>G261*(1-1)</f>
        <v>0</v>
      </c>
      <c r="AQ261" s="26" t="s">
        <v>63</v>
      </c>
      <c r="AV261" s="24">
        <f t="shared" si="36"/>
        <v>0</v>
      </c>
      <c r="AW261" s="24">
        <f t="shared" si="37"/>
        <v>0</v>
      </c>
      <c r="AX261" s="24">
        <f t="shared" si="38"/>
        <v>0</v>
      </c>
      <c r="AY261" s="26" t="s">
        <v>551</v>
      </c>
      <c r="AZ261" s="26" t="s">
        <v>551</v>
      </c>
      <c r="BA261" s="10" t="s">
        <v>57</v>
      </c>
      <c r="BC261" s="24">
        <f t="shared" si="39"/>
        <v>0</v>
      </c>
      <c r="BD261" s="24">
        <f t="shared" si="40"/>
        <v>0</v>
      </c>
      <c r="BE261" s="24">
        <v>0</v>
      </c>
      <c r="BF261" s="24">
        <f>261</f>
        <v>261</v>
      </c>
      <c r="BH261" s="24">
        <f t="shared" si="41"/>
        <v>0</v>
      </c>
      <c r="BI261" s="24">
        <f t="shared" si="42"/>
        <v>0</v>
      </c>
      <c r="BJ261" s="24">
        <f t="shared" si="43"/>
        <v>0</v>
      </c>
      <c r="BK261" s="26" t="s">
        <v>224</v>
      </c>
      <c r="BL261" s="24"/>
      <c r="BW261" s="24">
        <v>21</v>
      </c>
      <c r="BX261" s="4" t="s">
        <v>587</v>
      </c>
    </row>
    <row r="262" spans="1:76" x14ac:dyDescent="0.25">
      <c r="A262" s="2" t="s">
        <v>595</v>
      </c>
      <c r="B262" s="3" t="s">
        <v>596</v>
      </c>
      <c r="C262" s="109" t="s">
        <v>597</v>
      </c>
      <c r="D262" s="106"/>
      <c r="E262" s="3" t="s">
        <v>152</v>
      </c>
      <c r="F262" s="24">
        <v>6</v>
      </c>
      <c r="G262" s="24">
        <v>0</v>
      </c>
      <c r="H262" s="24">
        <f t="shared" si="22"/>
        <v>0</v>
      </c>
      <c r="I262" s="24">
        <f t="shared" si="23"/>
        <v>0</v>
      </c>
      <c r="J262" s="24">
        <f t="shared" si="24"/>
        <v>0</v>
      </c>
      <c r="K262" s="25" t="s">
        <v>55</v>
      </c>
      <c r="Z262" s="24">
        <f t="shared" si="25"/>
        <v>0</v>
      </c>
      <c r="AB262" s="24">
        <f t="shared" si="26"/>
        <v>0</v>
      </c>
      <c r="AC262" s="24">
        <f t="shared" si="27"/>
        <v>0</v>
      </c>
      <c r="AD262" s="24">
        <f t="shared" si="28"/>
        <v>0</v>
      </c>
      <c r="AE262" s="24">
        <f t="shared" si="29"/>
        <v>0</v>
      </c>
      <c r="AF262" s="24">
        <f t="shared" si="30"/>
        <v>0</v>
      </c>
      <c r="AG262" s="24">
        <f t="shared" si="31"/>
        <v>0</v>
      </c>
      <c r="AH262" s="24">
        <f t="shared" si="32"/>
        <v>0</v>
      </c>
      <c r="AI262" s="10" t="s">
        <v>48</v>
      </c>
      <c r="AJ262" s="24">
        <f t="shared" si="33"/>
        <v>0</v>
      </c>
      <c r="AK262" s="24">
        <f t="shared" si="34"/>
        <v>0</v>
      </c>
      <c r="AL262" s="24">
        <f t="shared" si="35"/>
        <v>0</v>
      </c>
      <c r="AN262" s="24">
        <v>21</v>
      </c>
      <c r="AO262" s="24">
        <f>G262*0</f>
        <v>0</v>
      </c>
      <c r="AP262" s="24">
        <f>G262*(1-0)</f>
        <v>0</v>
      </c>
      <c r="AQ262" s="26" t="s">
        <v>63</v>
      </c>
      <c r="AV262" s="24">
        <f t="shared" si="36"/>
        <v>0</v>
      </c>
      <c r="AW262" s="24">
        <f t="shared" si="37"/>
        <v>0</v>
      </c>
      <c r="AX262" s="24">
        <f t="shared" si="38"/>
        <v>0</v>
      </c>
      <c r="AY262" s="26" t="s">
        <v>551</v>
      </c>
      <c r="AZ262" s="26" t="s">
        <v>551</v>
      </c>
      <c r="BA262" s="10" t="s">
        <v>57</v>
      </c>
      <c r="BC262" s="24">
        <f t="shared" si="39"/>
        <v>0</v>
      </c>
      <c r="BD262" s="24">
        <f t="shared" si="40"/>
        <v>0</v>
      </c>
      <c r="BE262" s="24">
        <v>0</v>
      </c>
      <c r="BF262" s="24">
        <f>262</f>
        <v>262</v>
      </c>
      <c r="BH262" s="24">
        <f t="shared" si="41"/>
        <v>0</v>
      </c>
      <c r="BI262" s="24">
        <f t="shared" si="42"/>
        <v>0</v>
      </c>
      <c r="BJ262" s="24">
        <f t="shared" si="43"/>
        <v>0</v>
      </c>
      <c r="BK262" s="26" t="s">
        <v>58</v>
      </c>
      <c r="BL262" s="24"/>
      <c r="BW262" s="24">
        <v>21</v>
      </c>
      <c r="BX262" s="4" t="s">
        <v>597</v>
      </c>
    </row>
    <row r="263" spans="1:76" x14ac:dyDescent="0.25">
      <c r="A263" s="2" t="s">
        <v>598</v>
      </c>
      <c r="B263" s="3" t="s">
        <v>599</v>
      </c>
      <c r="C263" s="109" t="s">
        <v>600</v>
      </c>
      <c r="D263" s="106"/>
      <c r="E263" s="3" t="s">
        <v>152</v>
      </c>
      <c r="F263" s="24">
        <v>6</v>
      </c>
      <c r="G263" s="24">
        <v>0</v>
      </c>
      <c r="H263" s="24">
        <f t="shared" si="22"/>
        <v>0</v>
      </c>
      <c r="I263" s="24">
        <f t="shared" si="23"/>
        <v>0</v>
      </c>
      <c r="J263" s="24">
        <f t="shared" si="24"/>
        <v>0</v>
      </c>
      <c r="K263" s="25" t="s">
        <v>55</v>
      </c>
      <c r="Z263" s="24">
        <f t="shared" si="25"/>
        <v>0</v>
      </c>
      <c r="AB263" s="24">
        <f t="shared" si="26"/>
        <v>0</v>
      </c>
      <c r="AC263" s="24">
        <f t="shared" si="27"/>
        <v>0</v>
      </c>
      <c r="AD263" s="24">
        <f t="shared" si="28"/>
        <v>0</v>
      </c>
      <c r="AE263" s="24">
        <f t="shared" si="29"/>
        <v>0</v>
      </c>
      <c r="AF263" s="24">
        <f t="shared" si="30"/>
        <v>0</v>
      </c>
      <c r="AG263" s="24">
        <f t="shared" si="31"/>
        <v>0</v>
      </c>
      <c r="AH263" s="24">
        <f t="shared" si="32"/>
        <v>0</v>
      </c>
      <c r="AI263" s="10" t="s">
        <v>48</v>
      </c>
      <c r="AJ263" s="24">
        <f t="shared" si="33"/>
        <v>0</v>
      </c>
      <c r="AK263" s="24">
        <f t="shared" si="34"/>
        <v>0</v>
      </c>
      <c r="AL263" s="24">
        <f t="shared" si="35"/>
        <v>0</v>
      </c>
      <c r="AN263" s="24">
        <v>21</v>
      </c>
      <c r="AO263" s="24">
        <f>G263*1</f>
        <v>0</v>
      </c>
      <c r="AP263" s="24">
        <f>G263*(1-1)</f>
        <v>0</v>
      </c>
      <c r="AQ263" s="26" t="s">
        <v>63</v>
      </c>
      <c r="AV263" s="24">
        <f t="shared" si="36"/>
        <v>0</v>
      </c>
      <c r="AW263" s="24">
        <f t="shared" si="37"/>
        <v>0</v>
      </c>
      <c r="AX263" s="24">
        <f t="shared" si="38"/>
        <v>0</v>
      </c>
      <c r="AY263" s="26" t="s">
        <v>551</v>
      </c>
      <c r="AZ263" s="26" t="s">
        <v>551</v>
      </c>
      <c r="BA263" s="10" t="s">
        <v>57</v>
      </c>
      <c r="BC263" s="24">
        <f t="shared" si="39"/>
        <v>0</v>
      </c>
      <c r="BD263" s="24">
        <f t="shared" si="40"/>
        <v>0</v>
      </c>
      <c r="BE263" s="24">
        <v>0</v>
      </c>
      <c r="BF263" s="24">
        <f>263</f>
        <v>263</v>
      </c>
      <c r="BH263" s="24">
        <f t="shared" si="41"/>
        <v>0</v>
      </c>
      <c r="BI263" s="24">
        <f t="shared" si="42"/>
        <v>0</v>
      </c>
      <c r="BJ263" s="24">
        <f t="shared" si="43"/>
        <v>0</v>
      </c>
      <c r="BK263" s="26" t="s">
        <v>224</v>
      </c>
      <c r="BL263" s="24"/>
      <c r="BW263" s="24">
        <v>21</v>
      </c>
      <c r="BX263" s="4" t="s">
        <v>600</v>
      </c>
    </row>
    <row r="264" spans="1:76" x14ac:dyDescent="0.25">
      <c r="A264" s="2" t="s">
        <v>601</v>
      </c>
      <c r="B264" s="3" t="s">
        <v>602</v>
      </c>
      <c r="C264" s="109" t="s">
        <v>603</v>
      </c>
      <c r="D264" s="106"/>
      <c r="E264" s="3" t="s">
        <v>190</v>
      </c>
      <c r="F264" s="24">
        <v>15</v>
      </c>
      <c r="G264" s="24">
        <v>0</v>
      </c>
      <c r="H264" s="24">
        <f t="shared" si="22"/>
        <v>0</v>
      </c>
      <c r="I264" s="24">
        <f t="shared" si="23"/>
        <v>0</v>
      </c>
      <c r="J264" s="24">
        <f t="shared" si="24"/>
        <v>0</v>
      </c>
      <c r="K264" s="25" t="s">
        <v>55</v>
      </c>
      <c r="Z264" s="24">
        <f t="shared" si="25"/>
        <v>0</v>
      </c>
      <c r="AB264" s="24">
        <f t="shared" si="26"/>
        <v>0</v>
      </c>
      <c r="AC264" s="24">
        <f t="shared" si="27"/>
        <v>0</v>
      </c>
      <c r="AD264" s="24">
        <f t="shared" si="28"/>
        <v>0</v>
      </c>
      <c r="AE264" s="24">
        <f t="shared" si="29"/>
        <v>0</v>
      </c>
      <c r="AF264" s="24">
        <f t="shared" si="30"/>
        <v>0</v>
      </c>
      <c r="AG264" s="24">
        <f t="shared" si="31"/>
        <v>0</v>
      </c>
      <c r="AH264" s="24">
        <f t="shared" si="32"/>
        <v>0</v>
      </c>
      <c r="AI264" s="10" t="s">
        <v>48</v>
      </c>
      <c r="AJ264" s="24">
        <f t="shared" si="33"/>
        <v>0</v>
      </c>
      <c r="AK264" s="24">
        <f t="shared" si="34"/>
        <v>0</v>
      </c>
      <c r="AL264" s="24">
        <f t="shared" si="35"/>
        <v>0</v>
      </c>
      <c r="AN264" s="24">
        <v>21</v>
      </c>
      <c r="AO264" s="24">
        <f>G264*0</f>
        <v>0</v>
      </c>
      <c r="AP264" s="24">
        <f>G264*(1-0)</f>
        <v>0</v>
      </c>
      <c r="AQ264" s="26" t="s">
        <v>63</v>
      </c>
      <c r="AV264" s="24">
        <f t="shared" si="36"/>
        <v>0</v>
      </c>
      <c r="AW264" s="24">
        <f t="shared" si="37"/>
        <v>0</v>
      </c>
      <c r="AX264" s="24">
        <f t="shared" si="38"/>
        <v>0</v>
      </c>
      <c r="AY264" s="26" t="s">
        <v>551</v>
      </c>
      <c r="AZ264" s="26" t="s">
        <v>551</v>
      </c>
      <c r="BA264" s="10" t="s">
        <v>57</v>
      </c>
      <c r="BC264" s="24">
        <f t="shared" si="39"/>
        <v>0</v>
      </c>
      <c r="BD264" s="24">
        <f t="shared" si="40"/>
        <v>0</v>
      </c>
      <c r="BE264" s="24">
        <v>0</v>
      </c>
      <c r="BF264" s="24">
        <f>264</f>
        <v>264</v>
      </c>
      <c r="BH264" s="24">
        <f t="shared" si="41"/>
        <v>0</v>
      </c>
      <c r="BI264" s="24">
        <f t="shared" si="42"/>
        <v>0</v>
      </c>
      <c r="BJ264" s="24">
        <f t="shared" si="43"/>
        <v>0</v>
      </c>
      <c r="BK264" s="26" t="s">
        <v>58</v>
      </c>
      <c r="BL264" s="24"/>
      <c r="BW264" s="24">
        <v>21</v>
      </c>
      <c r="BX264" s="4" t="s">
        <v>603</v>
      </c>
    </row>
    <row r="265" spans="1:76" x14ac:dyDescent="0.25">
      <c r="A265" s="2" t="s">
        <v>604</v>
      </c>
      <c r="B265" s="3" t="s">
        <v>605</v>
      </c>
      <c r="C265" s="109" t="s">
        <v>606</v>
      </c>
      <c r="D265" s="106"/>
      <c r="E265" s="3" t="s">
        <v>190</v>
      </c>
      <c r="F265" s="24">
        <v>15</v>
      </c>
      <c r="G265" s="24">
        <v>0</v>
      </c>
      <c r="H265" s="24">
        <f t="shared" si="22"/>
        <v>0</v>
      </c>
      <c r="I265" s="24">
        <f t="shared" si="23"/>
        <v>0</v>
      </c>
      <c r="J265" s="24">
        <f t="shared" si="24"/>
        <v>0</v>
      </c>
      <c r="K265" s="25" t="s">
        <v>55</v>
      </c>
      <c r="Z265" s="24">
        <f t="shared" si="25"/>
        <v>0</v>
      </c>
      <c r="AB265" s="24">
        <f t="shared" si="26"/>
        <v>0</v>
      </c>
      <c r="AC265" s="24">
        <f t="shared" si="27"/>
        <v>0</v>
      </c>
      <c r="AD265" s="24">
        <f t="shared" si="28"/>
        <v>0</v>
      </c>
      <c r="AE265" s="24">
        <f t="shared" si="29"/>
        <v>0</v>
      </c>
      <c r="AF265" s="24">
        <f t="shared" si="30"/>
        <v>0</v>
      </c>
      <c r="AG265" s="24">
        <f t="shared" si="31"/>
        <v>0</v>
      </c>
      <c r="AH265" s="24">
        <f t="shared" si="32"/>
        <v>0</v>
      </c>
      <c r="AI265" s="10" t="s">
        <v>48</v>
      </c>
      <c r="AJ265" s="24">
        <f t="shared" si="33"/>
        <v>0</v>
      </c>
      <c r="AK265" s="24">
        <f t="shared" si="34"/>
        <v>0</v>
      </c>
      <c r="AL265" s="24">
        <f t="shared" si="35"/>
        <v>0</v>
      </c>
      <c r="AN265" s="24">
        <v>21</v>
      </c>
      <c r="AO265" s="24">
        <f>G265*1</f>
        <v>0</v>
      </c>
      <c r="AP265" s="24">
        <f>G265*(1-1)</f>
        <v>0</v>
      </c>
      <c r="AQ265" s="26" t="s">
        <v>63</v>
      </c>
      <c r="AV265" s="24">
        <f t="shared" si="36"/>
        <v>0</v>
      </c>
      <c r="AW265" s="24">
        <f t="shared" si="37"/>
        <v>0</v>
      </c>
      <c r="AX265" s="24">
        <f t="shared" si="38"/>
        <v>0</v>
      </c>
      <c r="AY265" s="26" t="s">
        <v>551</v>
      </c>
      <c r="AZ265" s="26" t="s">
        <v>551</v>
      </c>
      <c r="BA265" s="10" t="s">
        <v>57</v>
      </c>
      <c r="BC265" s="24">
        <f t="shared" si="39"/>
        <v>0</v>
      </c>
      <c r="BD265" s="24">
        <f t="shared" si="40"/>
        <v>0</v>
      </c>
      <c r="BE265" s="24">
        <v>0</v>
      </c>
      <c r="BF265" s="24">
        <f>265</f>
        <v>265</v>
      </c>
      <c r="BH265" s="24">
        <f t="shared" si="41"/>
        <v>0</v>
      </c>
      <c r="BI265" s="24">
        <f t="shared" si="42"/>
        <v>0</v>
      </c>
      <c r="BJ265" s="24">
        <f t="shared" si="43"/>
        <v>0</v>
      </c>
      <c r="BK265" s="26" t="s">
        <v>224</v>
      </c>
      <c r="BL265" s="24"/>
      <c r="BW265" s="24">
        <v>21</v>
      </c>
      <c r="BX265" s="4" t="s">
        <v>606</v>
      </c>
    </row>
    <row r="266" spans="1:76" x14ac:dyDescent="0.25">
      <c r="A266" s="2" t="s">
        <v>607</v>
      </c>
      <c r="B266" s="3" t="s">
        <v>608</v>
      </c>
      <c r="C266" s="109" t="s">
        <v>609</v>
      </c>
      <c r="D266" s="106"/>
      <c r="E266" s="3" t="s">
        <v>190</v>
      </c>
      <c r="F266" s="24">
        <v>20</v>
      </c>
      <c r="G266" s="24">
        <v>0</v>
      </c>
      <c r="H266" s="24">
        <f t="shared" si="22"/>
        <v>0</v>
      </c>
      <c r="I266" s="24">
        <f t="shared" si="23"/>
        <v>0</v>
      </c>
      <c r="J266" s="24">
        <f t="shared" si="24"/>
        <v>0</v>
      </c>
      <c r="K266" s="25" t="s">
        <v>55</v>
      </c>
      <c r="Z266" s="24">
        <f t="shared" si="25"/>
        <v>0</v>
      </c>
      <c r="AB266" s="24">
        <f t="shared" si="26"/>
        <v>0</v>
      </c>
      <c r="AC266" s="24">
        <f t="shared" si="27"/>
        <v>0</v>
      </c>
      <c r="AD266" s="24">
        <f t="shared" si="28"/>
        <v>0</v>
      </c>
      <c r="AE266" s="24">
        <f t="shared" si="29"/>
        <v>0</v>
      </c>
      <c r="AF266" s="24">
        <f t="shared" si="30"/>
        <v>0</v>
      </c>
      <c r="AG266" s="24">
        <f t="shared" si="31"/>
        <v>0</v>
      </c>
      <c r="AH266" s="24">
        <f t="shared" si="32"/>
        <v>0</v>
      </c>
      <c r="AI266" s="10" t="s">
        <v>48</v>
      </c>
      <c r="AJ266" s="24">
        <f t="shared" si="33"/>
        <v>0</v>
      </c>
      <c r="AK266" s="24">
        <f t="shared" si="34"/>
        <v>0</v>
      </c>
      <c r="AL266" s="24">
        <f t="shared" si="35"/>
        <v>0</v>
      </c>
      <c r="AN266" s="24">
        <v>21</v>
      </c>
      <c r="AO266" s="24">
        <f>G266*0</f>
        <v>0</v>
      </c>
      <c r="AP266" s="24">
        <f>G266*(1-0)</f>
        <v>0</v>
      </c>
      <c r="AQ266" s="26" t="s">
        <v>63</v>
      </c>
      <c r="AV266" s="24">
        <f t="shared" si="36"/>
        <v>0</v>
      </c>
      <c r="AW266" s="24">
        <f t="shared" si="37"/>
        <v>0</v>
      </c>
      <c r="AX266" s="24">
        <f t="shared" si="38"/>
        <v>0</v>
      </c>
      <c r="AY266" s="26" t="s">
        <v>551</v>
      </c>
      <c r="AZ266" s="26" t="s">
        <v>551</v>
      </c>
      <c r="BA266" s="10" t="s">
        <v>57</v>
      </c>
      <c r="BC266" s="24">
        <f t="shared" si="39"/>
        <v>0</v>
      </c>
      <c r="BD266" s="24">
        <f t="shared" si="40"/>
        <v>0</v>
      </c>
      <c r="BE266" s="24">
        <v>0</v>
      </c>
      <c r="BF266" s="24">
        <f>266</f>
        <v>266</v>
      </c>
      <c r="BH266" s="24">
        <f t="shared" si="41"/>
        <v>0</v>
      </c>
      <c r="BI266" s="24">
        <f t="shared" si="42"/>
        <v>0</v>
      </c>
      <c r="BJ266" s="24">
        <f t="shared" si="43"/>
        <v>0</v>
      </c>
      <c r="BK266" s="26" t="s">
        <v>58</v>
      </c>
      <c r="BL266" s="24"/>
      <c r="BW266" s="24">
        <v>21</v>
      </c>
      <c r="BX266" s="4" t="s">
        <v>609</v>
      </c>
    </row>
    <row r="267" spans="1:76" x14ac:dyDescent="0.25">
      <c r="A267" s="2" t="s">
        <v>610</v>
      </c>
      <c r="B267" s="3" t="s">
        <v>611</v>
      </c>
      <c r="C267" s="109" t="s">
        <v>612</v>
      </c>
      <c r="D267" s="106"/>
      <c r="E267" s="3" t="s">
        <v>190</v>
      </c>
      <c r="F267" s="24">
        <v>20</v>
      </c>
      <c r="G267" s="24">
        <v>0</v>
      </c>
      <c r="H267" s="24">
        <f t="shared" si="22"/>
        <v>0</v>
      </c>
      <c r="I267" s="24">
        <f t="shared" si="23"/>
        <v>0</v>
      </c>
      <c r="J267" s="24">
        <f t="shared" si="24"/>
        <v>0</v>
      </c>
      <c r="K267" s="25" t="s">
        <v>55</v>
      </c>
      <c r="Z267" s="24">
        <f t="shared" si="25"/>
        <v>0</v>
      </c>
      <c r="AB267" s="24">
        <f t="shared" si="26"/>
        <v>0</v>
      </c>
      <c r="AC267" s="24">
        <f t="shared" si="27"/>
        <v>0</v>
      </c>
      <c r="AD267" s="24">
        <f t="shared" si="28"/>
        <v>0</v>
      </c>
      <c r="AE267" s="24">
        <f t="shared" si="29"/>
        <v>0</v>
      </c>
      <c r="AF267" s="24">
        <f t="shared" si="30"/>
        <v>0</v>
      </c>
      <c r="AG267" s="24">
        <f t="shared" si="31"/>
        <v>0</v>
      </c>
      <c r="AH267" s="24">
        <f t="shared" si="32"/>
        <v>0</v>
      </c>
      <c r="AI267" s="10" t="s">
        <v>48</v>
      </c>
      <c r="AJ267" s="24">
        <f t="shared" si="33"/>
        <v>0</v>
      </c>
      <c r="AK267" s="24">
        <f t="shared" si="34"/>
        <v>0</v>
      </c>
      <c r="AL267" s="24">
        <f t="shared" si="35"/>
        <v>0</v>
      </c>
      <c r="AN267" s="24">
        <v>21</v>
      </c>
      <c r="AO267" s="24">
        <f>G267*1</f>
        <v>0</v>
      </c>
      <c r="AP267" s="24">
        <f>G267*(1-1)</f>
        <v>0</v>
      </c>
      <c r="AQ267" s="26" t="s">
        <v>63</v>
      </c>
      <c r="AV267" s="24">
        <f t="shared" si="36"/>
        <v>0</v>
      </c>
      <c r="AW267" s="24">
        <f t="shared" si="37"/>
        <v>0</v>
      </c>
      <c r="AX267" s="24">
        <f t="shared" si="38"/>
        <v>0</v>
      </c>
      <c r="AY267" s="26" t="s">
        <v>551</v>
      </c>
      <c r="AZ267" s="26" t="s">
        <v>551</v>
      </c>
      <c r="BA267" s="10" t="s">
        <v>57</v>
      </c>
      <c r="BC267" s="24">
        <f t="shared" si="39"/>
        <v>0</v>
      </c>
      <c r="BD267" s="24">
        <f t="shared" si="40"/>
        <v>0</v>
      </c>
      <c r="BE267" s="24">
        <v>0</v>
      </c>
      <c r="BF267" s="24">
        <f>267</f>
        <v>267</v>
      </c>
      <c r="BH267" s="24">
        <f t="shared" si="41"/>
        <v>0</v>
      </c>
      <c r="BI267" s="24">
        <f t="shared" si="42"/>
        <v>0</v>
      </c>
      <c r="BJ267" s="24">
        <f t="shared" si="43"/>
        <v>0</v>
      </c>
      <c r="BK267" s="26" t="s">
        <v>224</v>
      </c>
      <c r="BL267" s="24"/>
      <c r="BW267" s="24">
        <v>21</v>
      </c>
      <c r="BX267" s="4" t="s">
        <v>612</v>
      </c>
    </row>
    <row r="268" spans="1:76" x14ac:dyDescent="0.25">
      <c r="A268" s="2" t="s">
        <v>613</v>
      </c>
      <c r="B268" s="3" t="s">
        <v>614</v>
      </c>
      <c r="C268" s="109" t="s">
        <v>615</v>
      </c>
      <c r="D268" s="106"/>
      <c r="E268" s="3" t="s">
        <v>152</v>
      </c>
      <c r="F268" s="24">
        <v>10</v>
      </c>
      <c r="G268" s="24">
        <v>0</v>
      </c>
      <c r="H268" s="24">
        <f t="shared" si="22"/>
        <v>0</v>
      </c>
      <c r="I268" s="24">
        <f t="shared" si="23"/>
        <v>0</v>
      </c>
      <c r="J268" s="24">
        <f t="shared" si="24"/>
        <v>0</v>
      </c>
      <c r="K268" s="25" t="s">
        <v>55</v>
      </c>
      <c r="Z268" s="24">
        <f t="shared" si="25"/>
        <v>0</v>
      </c>
      <c r="AB268" s="24">
        <f t="shared" si="26"/>
        <v>0</v>
      </c>
      <c r="AC268" s="24">
        <f t="shared" si="27"/>
        <v>0</v>
      </c>
      <c r="AD268" s="24">
        <f t="shared" si="28"/>
        <v>0</v>
      </c>
      <c r="AE268" s="24">
        <f t="shared" si="29"/>
        <v>0</v>
      </c>
      <c r="AF268" s="24">
        <f t="shared" si="30"/>
        <v>0</v>
      </c>
      <c r="AG268" s="24">
        <f t="shared" si="31"/>
        <v>0</v>
      </c>
      <c r="AH268" s="24">
        <f t="shared" si="32"/>
        <v>0</v>
      </c>
      <c r="AI268" s="10" t="s">
        <v>48</v>
      </c>
      <c r="AJ268" s="24">
        <f t="shared" si="33"/>
        <v>0</v>
      </c>
      <c r="AK268" s="24">
        <f t="shared" si="34"/>
        <v>0</v>
      </c>
      <c r="AL268" s="24">
        <f t="shared" si="35"/>
        <v>0</v>
      </c>
      <c r="AN268" s="24">
        <v>21</v>
      </c>
      <c r="AO268" s="24">
        <f>G268*0</f>
        <v>0</v>
      </c>
      <c r="AP268" s="24">
        <f>G268*(1-0)</f>
        <v>0</v>
      </c>
      <c r="AQ268" s="26" t="s">
        <v>63</v>
      </c>
      <c r="AV268" s="24">
        <f t="shared" si="36"/>
        <v>0</v>
      </c>
      <c r="AW268" s="24">
        <f t="shared" si="37"/>
        <v>0</v>
      </c>
      <c r="AX268" s="24">
        <f t="shared" si="38"/>
        <v>0</v>
      </c>
      <c r="AY268" s="26" t="s">
        <v>551</v>
      </c>
      <c r="AZ268" s="26" t="s">
        <v>551</v>
      </c>
      <c r="BA268" s="10" t="s">
        <v>57</v>
      </c>
      <c r="BC268" s="24">
        <f t="shared" si="39"/>
        <v>0</v>
      </c>
      <c r="BD268" s="24">
        <f t="shared" si="40"/>
        <v>0</v>
      </c>
      <c r="BE268" s="24">
        <v>0</v>
      </c>
      <c r="BF268" s="24">
        <f>268</f>
        <v>268</v>
      </c>
      <c r="BH268" s="24">
        <f t="shared" si="41"/>
        <v>0</v>
      </c>
      <c r="BI268" s="24">
        <f t="shared" si="42"/>
        <v>0</v>
      </c>
      <c r="BJ268" s="24">
        <f t="shared" si="43"/>
        <v>0</v>
      </c>
      <c r="BK268" s="26" t="s">
        <v>58</v>
      </c>
      <c r="BL268" s="24"/>
      <c r="BW268" s="24">
        <v>21</v>
      </c>
      <c r="BX268" s="4" t="s">
        <v>615</v>
      </c>
    </row>
    <row r="269" spans="1:76" x14ac:dyDescent="0.25">
      <c r="A269" s="2" t="s">
        <v>616</v>
      </c>
      <c r="B269" s="3" t="s">
        <v>617</v>
      </c>
      <c r="C269" s="109" t="s">
        <v>618</v>
      </c>
      <c r="D269" s="106"/>
      <c r="E269" s="3" t="s">
        <v>152</v>
      </c>
      <c r="F269" s="24">
        <v>6</v>
      </c>
      <c r="G269" s="24">
        <v>0</v>
      </c>
      <c r="H269" s="24">
        <f t="shared" si="22"/>
        <v>0</v>
      </c>
      <c r="I269" s="24">
        <f t="shared" si="23"/>
        <v>0</v>
      </c>
      <c r="J269" s="24">
        <f t="shared" si="24"/>
        <v>0</v>
      </c>
      <c r="K269" s="25" t="s">
        <v>55</v>
      </c>
      <c r="Z269" s="24">
        <f t="shared" si="25"/>
        <v>0</v>
      </c>
      <c r="AB269" s="24">
        <f t="shared" si="26"/>
        <v>0</v>
      </c>
      <c r="AC269" s="24">
        <f t="shared" si="27"/>
        <v>0</v>
      </c>
      <c r="AD269" s="24">
        <f t="shared" si="28"/>
        <v>0</v>
      </c>
      <c r="AE269" s="24">
        <f t="shared" si="29"/>
        <v>0</v>
      </c>
      <c r="AF269" s="24">
        <f t="shared" si="30"/>
        <v>0</v>
      </c>
      <c r="AG269" s="24">
        <f t="shared" si="31"/>
        <v>0</v>
      </c>
      <c r="AH269" s="24">
        <f t="shared" si="32"/>
        <v>0</v>
      </c>
      <c r="AI269" s="10" t="s">
        <v>48</v>
      </c>
      <c r="AJ269" s="24">
        <f t="shared" si="33"/>
        <v>0</v>
      </c>
      <c r="AK269" s="24">
        <f t="shared" si="34"/>
        <v>0</v>
      </c>
      <c r="AL269" s="24">
        <f t="shared" si="35"/>
        <v>0</v>
      </c>
      <c r="AN269" s="24">
        <v>21</v>
      </c>
      <c r="AO269" s="24">
        <f>G269*0</f>
        <v>0</v>
      </c>
      <c r="AP269" s="24">
        <f>G269*(1-0)</f>
        <v>0</v>
      </c>
      <c r="AQ269" s="26" t="s">
        <v>63</v>
      </c>
      <c r="AV269" s="24">
        <f t="shared" si="36"/>
        <v>0</v>
      </c>
      <c r="AW269" s="24">
        <f t="shared" si="37"/>
        <v>0</v>
      </c>
      <c r="AX269" s="24">
        <f t="shared" si="38"/>
        <v>0</v>
      </c>
      <c r="AY269" s="26" t="s">
        <v>551</v>
      </c>
      <c r="AZ269" s="26" t="s">
        <v>551</v>
      </c>
      <c r="BA269" s="10" t="s">
        <v>57</v>
      </c>
      <c r="BC269" s="24">
        <f t="shared" si="39"/>
        <v>0</v>
      </c>
      <c r="BD269" s="24">
        <f t="shared" si="40"/>
        <v>0</v>
      </c>
      <c r="BE269" s="24">
        <v>0</v>
      </c>
      <c r="BF269" s="24">
        <f>269</f>
        <v>269</v>
      </c>
      <c r="BH269" s="24">
        <f t="shared" si="41"/>
        <v>0</v>
      </c>
      <c r="BI269" s="24">
        <f t="shared" si="42"/>
        <v>0</v>
      </c>
      <c r="BJ269" s="24">
        <f t="shared" si="43"/>
        <v>0</v>
      </c>
      <c r="BK269" s="26" t="s">
        <v>58</v>
      </c>
      <c r="BL269" s="24"/>
      <c r="BW269" s="24">
        <v>21</v>
      </c>
      <c r="BX269" s="4" t="s">
        <v>618</v>
      </c>
    </row>
    <row r="270" spans="1:76" x14ac:dyDescent="0.25">
      <c r="A270" s="31" t="s">
        <v>48</v>
      </c>
      <c r="B270" s="32" t="s">
        <v>619</v>
      </c>
      <c r="C270" s="181" t="s">
        <v>620</v>
      </c>
      <c r="D270" s="182"/>
      <c r="E270" s="33" t="s">
        <v>4</v>
      </c>
      <c r="F270" s="33" t="s">
        <v>4</v>
      </c>
      <c r="G270" s="33" t="s">
        <v>4</v>
      </c>
      <c r="H270" s="1">
        <f>ROUND(SUM(H271:H282),2)</f>
        <v>0</v>
      </c>
      <c r="I270" s="1">
        <f>ROUND(SUM(I271:I282),2)</f>
        <v>0</v>
      </c>
      <c r="J270" s="1">
        <f>ROUND(SUM(J271:J282),2)</f>
        <v>0</v>
      </c>
      <c r="K270" s="34" t="s">
        <v>48</v>
      </c>
      <c r="AI270" s="10" t="s">
        <v>48</v>
      </c>
      <c r="AS270" s="1">
        <f>SUM(AJ271:AJ282)</f>
        <v>0</v>
      </c>
      <c r="AT270" s="1">
        <f>SUM(AK271:AK282)</f>
        <v>0</v>
      </c>
      <c r="AU270" s="1">
        <f>SUM(AL271:AL282)</f>
        <v>0</v>
      </c>
    </row>
    <row r="271" spans="1:76" x14ac:dyDescent="0.25">
      <c r="A271" s="2" t="s">
        <v>621</v>
      </c>
      <c r="B271" s="3" t="s">
        <v>622</v>
      </c>
      <c r="C271" s="109" t="s">
        <v>623</v>
      </c>
      <c r="D271" s="106"/>
      <c r="E271" s="3" t="s">
        <v>104</v>
      </c>
      <c r="F271" s="24">
        <v>54.28</v>
      </c>
      <c r="G271" s="24">
        <v>0</v>
      </c>
      <c r="H271" s="24">
        <f>ROUND(F271*AO271,2)</f>
        <v>0</v>
      </c>
      <c r="I271" s="24">
        <f>ROUND(F271*AP271,2)</f>
        <v>0</v>
      </c>
      <c r="J271" s="24">
        <f>ROUND(F271*G271,2)</f>
        <v>0</v>
      </c>
      <c r="K271" s="25" t="s">
        <v>55</v>
      </c>
      <c r="Z271" s="24">
        <f>ROUND(IF(AQ271="5",BJ271,0),2)</f>
        <v>0</v>
      </c>
      <c r="AB271" s="24">
        <f>ROUND(IF(AQ271="1",BH271,0),2)</f>
        <v>0</v>
      </c>
      <c r="AC271" s="24">
        <f>ROUND(IF(AQ271="1",BI271,0),2)</f>
        <v>0</v>
      </c>
      <c r="AD271" s="24">
        <f>ROUND(IF(AQ271="7",BH271,0),2)</f>
        <v>0</v>
      </c>
      <c r="AE271" s="24">
        <f>ROUND(IF(AQ271="7",BI271,0),2)</f>
        <v>0</v>
      </c>
      <c r="AF271" s="24">
        <f>ROUND(IF(AQ271="2",BH271,0),2)</f>
        <v>0</v>
      </c>
      <c r="AG271" s="24">
        <f>ROUND(IF(AQ271="2",BI271,0),2)</f>
        <v>0</v>
      </c>
      <c r="AH271" s="24">
        <f>ROUND(IF(AQ271="0",BJ271,0),2)</f>
        <v>0</v>
      </c>
      <c r="AI271" s="10" t="s">
        <v>48</v>
      </c>
      <c r="AJ271" s="24">
        <f>IF(AN271=0,J271,0)</f>
        <v>0</v>
      </c>
      <c r="AK271" s="24">
        <f>IF(AN271=12,J271,0)</f>
        <v>0</v>
      </c>
      <c r="AL271" s="24">
        <f>IF(AN271=21,J271,0)</f>
        <v>0</v>
      </c>
      <c r="AN271" s="24">
        <v>21</v>
      </c>
      <c r="AO271" s="24">
        <f>G271*0</f>
        <v>0</v>
      </c>
      <c r="AP271" s="24">
        <f>G271*(1-0)</f>
        <v>0</v>
      </c>
      <c r="AQ271" s="26" t="s">
        <v>75</v>
      </c>
      <c r="AV271" s="24">
        <f>ROUND(AW271+AX271,2)</f>
        <v>0</v>
      </c>
      <c r="AW271" s="24">
        <f>ROUND(F271*AO271,2)</f>
        <v>0</v>
      </c>
      <c r="AX271" s="24">
        <f>ROUND(F271*AP271,2)</f>
        <v>0</v>
      </c>
      <c r="AY271" s="26" t="s">
        <v>624</v>
      </c>
      <c r="AZ271" s="26" t="s">
        <v>624</v>
      </c>
      <c r="BA271" s="10" t="s">
        <v>57</v>
      </c>
      <c r="BC271" s="24">
        <f>AW271+AX271</f>
        <v>0</v>
      </c>
      <c r="BD271" s="24">
        <f>G271/(100-BE271)*100</f>
        <v>0</v>
      </c>
      <c r="BE271" s="24">
        <v>0</v>
      </c>
      <c r="BF271" s="24">
        <f>271</f>
        <v>271</v>
      </c>
      <c r="BH271" s="24">
        <f>F271*AO271</f>
        <v>0</v>
      </c>
      <c r="BI271" s="24">
        <f>F271*AP271</f>
        <v>0</v>
      </c>
      <c r="BJ271" s="24">
        <f>F271*G271</f>
        <v>0</v>
      </c>
      <c r="BK271" s="26" t="s">
        <v>58</v>
      </c>
      <c r="BL271" s="24"/>
      <c r="BW271" s="24">
        <v>21</v>
      </c>
      <c r="BX271" s="4" t="s">
        <v>623</v>
      </c>
    </row>
    <row r="272" spans="1:76" x14ac:dyDescent="0.25">
      <c r="A272" s="2" t="s">
        <v>625</v>
      </c>
      <c r="B272" s="3" t="s">
        <v>626</v>
      </c>
      <c r="C272" s="109" t="s">
        <v>627</v>
      </c>
      <c r="D272" s="106"/>
      <c r="E272" s="3" t="s">
        <v>104</v>
      </c>
      <c r="F272" s="24">
        <v>54.6</v>
      </c>
      <c r="G272" s="24">
        <v>0</v>
      </c>
      <c r="H272" s="24">
        <f>ROUND(F272*AO272,2)</f>
        <v>0</v>
      </c>
      <c r="I272" s="24">
        <f>ROUND(F272*AP272,2)</f>
        <v>0</v>
      </c>
      <c r="J272" s="24">
        <f>ROUND(F272*G272,2)</f>
        <v>0</v>
      </c>
      <c r="K272" s="25" t="s">
        <v>55</v>
      </c>
      <c r="Z272" s="24">
        <f>ROUND(IF(AQ272="5",BJ272,0),2)</f>
        <v>0</v>
      </c>
      <c r="AB272" s="24">
        <f>ROUND(IF(AQ272="1",BH272,0),2)</f>
        <v>0</v>
      </c>
      <c r="AC272" s="24">
        <f>ROUND(IF(AQ272="1",BI272,0),2)</f>
        <v>0</v>
      </c>
      <c r="AD272" s="24">
        <f>ROUND(IF(AQ272="7",BH272,0),2)</f>
        <v>0</v>
      </c>
      <c r="AE272" s="24">
        <f>ROUND(IF(AQ272="7",BI272,0),2)</f>
        <v>0</v>
      </c>
      <c r="AF272" s="24">
        <f>ROUND(IF(AQ272="2",BH272,0),2)</f>
        <v>0</v>
      </c>
      <c r="AG272" s="24">
        <f>ROUND(IF(AQ272="2",BI272,0),2)</f>
        <v>0</v>
      </c>
      <c r="AH272" s="24">
        <f>ROUND(IF(AQ272="0",BJ272,0),2)</f>
        <v>0</v>
      </c>
      <c r="AI272" s="10" t="s">
        <v>48</v>
      </c>
      <c r="AJ272" s="24">
        <f>IF(AN272=0,J272,0)</f>
        <v>0</v>
      </c>
      <c r="AK272" s="24">
        <f>IF(AN272=12,J272,0)</f>
        <v>0</v>
      </c>
      <c r="AL272" s="24">
        <f>IF(AN272=21,J272,0)</f>
        <v>0</v>
      </c>
      <c r="AN272" s="24">
        <v>21</v>
      </c>
      <c r="AO272" s="24">
        <f>G272*0</f>
        <v>0</v>
      </c>
      <c r="AP272" s="24">
        <f>G272*(1-0)</f>
        <v>0</v>
      </c>
      <c r="AQ272" s="26" t="s">
        <v>75</v>
      </c>
      <c r="AV272" s="24">
        <f>ROUND(AW272+AX272,2)</f>
        <v>0</v>
      </c>
      <c r="AW272" s="24">
        <f>ROUND(F272*AO272,2)</f>
        <v>0</v>
      </c>
      <c r="AX272" s="24">
        <f>ROUND(F272*AP272,2)</f>
        <v>0</v>
      </c>
      <c r="AY272" s="26" t="s">
        <v>624</v>
      </c>
      <c r="AZ272" s="26" t="s">
        <v>624</v>
      </c>
      <c r="BA272" s="10" t="s">
        <v>57</v>
      </c>
      <c r="BC272" s="24">
        <f>AW272+AX272</f>
        <v>0</v>
      </c>
      <c r="BD272" s="24">
        <f>G272/(100-BE272)*100</f>
        <v>0</v>
      </c>
      <c r="BE272" s="24">
        <v>0</v>
      </c>
      <c r="BF272" s="24">
        <f>272</f>
        <v>272</v>
      </c>
      <c r="BH272" s="24">
        <f>F272*AO272</f>
        <v>0</v>
      </c>
      <c r="BI272" s="24">
        <f>F272*AP272</f>
        <v>0</v>
      </c>
      <c r="BJ272" s="24">
        <f>F272*G272</f>
        <v>0</v>
      </c>
      <c r="BK272" s="26" t="s">
        <v>58</v>
      </c>
      <c r="BL272" s="24"/>
      <c r="BW272" s="24">
        <v>21</v>
      </c>
      <c r="BX272" s="4" t="s">
        <v>627</v>
      </c>
    </row>
    <row r="273" spans="1:76" x14ac:dyDescent="0.25">
      <c r="A273" s="2" t="s">
        <v>628</v>
      </c>
      <c r="B273" s="3" t="s">
        <v>629</v>
      </c>
      <c r="C273" s="109" t="s">
        <v>630</v>
      </c>
      <c r="D273" s="106"/>
      <c r="E273" s="3" t="s">
        <v>104</v>
      </c>
      <c r="F273" s="24">
        <v>491.4</v>
      </c>
      <c r="G273" s="24">
        <v>0</v>
      </c>
      <c r="H273" s="24">
        <f>ROUND(F273*AO273,2)</f>
        <v>0</v>
      </c>
      <c r="I273" s="24">
        <f>ROUND(F273*AP273,2)</f>
        <v>0</v>
      </c>
      <c r="J273" s="24">
        <f>ROUND(F273*G273,2)</f>
        <v>0</v>
      </c>
      <c r="K273" s="25" t="s">
        <v>55</v>
      </c>
      <c r="Z273" s="24">
        <f>ROUND(IF(AQ273="5",BJ273,0),2)</f>
        <v>0</v>
      </c>
      <c r="AB273" s="24">
        <f>ROUND(IF(AQ273="1",BH273,0),2)</f>
        <v>0</v>
      </c>
      <c r="AC273" s="24">
        <f>ROUND(IF(AQ273="1",BI273,0),2)</f>
        <v>0</v>
      </c>
      <c r="AD273" s="24">
        <f>ROUND(IF(AQ273="7",BH273,0),2)</f>
        <v>0</v>
      </c>
      <c r="AE273" s="24">
        <f>ROUND(IF(AQ273="7",BI273,0),2)</f>
        <v>0</v>
      </c>
      <c r="AF273" s="24">
        <f>ROUND(IF(AQ273="2",BH273,0),2)</f>
        <v>0</v>
      </c>
      <c r="AG273" s="24">
        <f>ROUND(IF(AQ273="2",BI273,0),2)</f>
        <v>0</v>
      </c>
      <c r="AH273" s="24">
        <f>ROUND(IF(AQ273="0",BJ273,0),2)</f>
        <v>0</v>
      </c>
      <c r="AI273" s="10" t="s">
        <v>48</v>
      </c>
      <c r="AJ273" s="24">
        <f>IF(AN273=0,J273,0)</f>
        <v>0</v>
      </c>
      <c r="AK273" s="24">
        <f>IF(AN273=12,J273,0)</f>
        <v>0</v>
      </c>
      <c r="AL273" s="24">
        <f>IF(AN273=21,J273,0)</f>
        <v>0</v>
      </c>
      <c r="AN273" s="24">
        <v>21</v>
      </c>
      <c r="AO273" s="24">
        <f>G273*0</f>
        <v>0</v>
      </c>
      <c r="AP273" s="24">
        <f>G273*(1-0)</f>
        <v>0</v>
      </c>
      <c r="AQ273" s="26" t="s">
        <v>75</v>
      </c>
      <c r="AV273" s="24">
        <f>ROUND(AW273+AX273,2)</f>
        <v>0</v>
      </c>
      <c r="AW273" s="24">
        <f>ROUND(F273*AO273,2)</f>
        <v>0</v>
      </c>
      <c r="AX273" s="24">
        <f>ROUND(F273*AP273,2)</f>
        <v>0</v>
      </c>
      <c r="AY273" s="26" t="s">
        <v>624</v>
      </c>
      <c r="AZ273" s="26" t="s">
        <v>624</v>
      </c>
      <c r="BA273" s="10" t="s">
        <v>57</v>
      </c>
      <c r="BC273" s="24">
        <f>AW273+AX273</f>
        <v>0</v>
      </c>
      <c r="BD273" s="24">
        <f>G273/(100-BE273)*100</f>
        <v>0</v>
      </c>
      <c r="BE273" s="24">
        <v>0</v>
      </c>
      <c r="BF273" s="24">
        <f>273</f>
        <v>273</v>
      </c>
      <c r="BH273" s="24">
        <f>F273*AO273</f>
        <v>0</v>
      </c>
      <c r="BI273" s="24">
        <f>F273*AP273</f>
        <v>0</v>
      </c>
      <c r="BJ273" s="24">
        <f>F273*G273</f>
        <v>0</v>
      </c>
      <c r="BK273" s="26" t="s">
        <v>58</v>
      </c>
      <c r="BL273" s="24"/>
      <c r="BW273" s="24">
        <v>21</v>
      </c>
      <c r="BX273" s="4" t="s">
        <v>630</v>
      </c>
    </row>
    <row r="274" spans="1:76" x14ac:dyDescent="0.25">
      <c r="A274" s="27"/>
      <c r="C274" s="28" t="s">
        <v>631</v>
      </c>
      <c r="D274" s="28" t="s">
        <v>48</v>
      </c>
      <c r="F274" s="29">
        <v>491.4</v>
      </c>
      <c r="K274" s="30"/>
    </row>
    <row r="275" spans="1:76" x14ac:dyDescent="0.25">
      <c r="A275" s="2" t="s">
        <v>632</v>
      </c>
      <c r="B275" s="3" t="s">
        <v>633</v>
      </c>
      <c r="C275" s="109" t="s">
        <v>634</v>
      </c>
      <c r="D275" s="106"/>
      <c r="E275" s="3" t="s">
        <v>104</v>
      </c>
      <c r="F275" s="24">
        <v>54.6</v>
      </c>
      <c r="G275" s="24">
        <v>0</v>
      </c>
      <c r="H275" s="24">
        <f>ROUND(F275*AO275,2)</f>
        <v>0</v>
      </c>
      <c r="I275" s="24">
        <f>ROUND(F275*AP275,2)</f>
        <v>0</v>
      </c>
      <c r="J275" s="24">
        <f>ROUND(F275*G275,2)</f>
        <v>0</v>
      </c>
      <c r="K275" s="25" t="s">
        <v>55</v>
      </c>
      <c r="Z275" s="24">
        <f>ROUND(IF(AQ275="5",BJ275,0),2)</f>
        <v>0</v>
      </c>
      <c r="AB275" s="24">
        <f>ROUND(IF(AQ275="1",BH275,0),2)</f>
        <v>0</v>
      </c>
      <c r="AC275" s="24">
        <f>ROUND(IF(AQ275="1",BI275,0),2)</f>
        <v>0</v>
      </c>
      <c r="AD275" s="24">
        <f>ROUND(IF(AQ275="7",BH275,0),2)</f>
        <v>0</v>
      </c>
      <c r="AE275" s="24">
        <f>ROUND(IF(AQ275="7",BI275,0),2)</f>
        <v>0</v>
      </c>
      <c r="AF275" s="24">
        <f>ROUND(IF(AQ275="2",BH275,0),2)</f>
        <v>0</v>
      </c>
      <c r="AG275" s="24">
        <f>ROUND(IF(AQ275="2",BI275,0),2)</f>
        <v>0</v>
      </c>
      <c r="AH275" s="24">
        <f>ROUND(IF(AQ275="0",BJ275,0),2)</f>
        <v>0</v>
      </c>
      <c r="AI275" s="10" t="s">
        <v>48</v>
      </c>
      <c r="AJ275" s="24">
        <f>IF(AN275=0,J275,0)</f>
        <v>0</v>
      </c>
      <c r="AK275" s="24">
        <f>IF(AN275=12,J275,0)</f>
        <v>0</v>
      </c>
      <c r="AL275" s="24">
        <f>IF(AN275=21,J275,0)</f>
        <v>0</v>
      </c>
      <c r="AN275" s="24">
        <v>21</v>
      </c>
      <c r="AO275" s="24">
        <f>G275*0</f>
        <v>0</v>
      </c>
      <c r="AP275" s="24">
        <f>G275*(1-0)</f>
        <v>0</v>
      </c>
      <c r="AQ275" s="26" t="s">
        <v>75</v>
      </c>
      <c r="AV275" s="24">
        <f>ROUND(AW275+AX275,2)</f>
        <v>0</v>
      </c>
      <c r="AW275" s="24">
        <f>ROUND(F275*AO275,2)</f>
        <v>0</v>
      </c>
      <c r="AX275" s="24">
        <f>ROUND(F275*AP275,2)</f>
        <v>0</v>
      </c>
      <c r="AY275" s="26" t="s">
        <v>624</v>
      </c>
      <c r="AZ275" s="26" t="s">
        <v>624</v>
      </c>
      <c r="BA275" s="10" t="s">
        <v>57</v>
      </c>
      <c r="BC275" s="24">
        <f>AW275+AX275</f>
        <v>0</v>
      </c>
      <c r="BD275" s="24">
        <f>G275/(100-BE275)*100</f>
        <v>0</v>
      </c>
      <c r="BE275" s="24">
        <v>0</v>
      </c>
      <c r="BF275" s="24">
        <f>275</f>
        <v>275</v>
      </c>
      <c r="BH275" s="24">
        <f>F275*AO275</f>
        <v>0</v>
      </c>
      <c r="BI275" s="24">
        <f>F275*AP275</f>
        <v>0</v>
      </c>
      <c r="BJ275" s="24">
        <f>F275*G275</f>
        <v>0</v>
      </c>
      <c r="BK275" s="26" t="s">
        <v>58</v>
      </c>
      <c r="BL275" s="24"/>
      <c r="BW275" s="24">
        <v>21</v>
      </c>
      <c r="BX275" s="4" t="s">
        <v>634</v>
      </c>
    </row>
    <row r="276" spans="1:76" x14ac:dyDescent="0.25">
      <c r="A276" s="2" t="s">
        <v>635</v>
      </c>
      <c r="B276" s="3" t="s">
        <v>636</v>
      </c>
      <c r="C276" s="109" t="s">
        <v>637</v>
      </c>
      <c r="D276" s="106"/>
      <c r="E276" s="3" t="s">
        <v>104</v>
      </c>
      <c r="F276" s="24">
        <v>163.80000000000001</v>
      </c>
      <c r="G276" s="24">
        <v>0</v>
      </c>
      <c r="H276" s="24">
        <f>ROUND(F276*AO276,2)</f>
        <v>0</v>
      </c>
      <c r="I276" s="24">
        <f>ROUND(F276*AP276,2)</f>
        <v>0</v>
      </c>
      <c r="J276" s="24">
        <f>ROUND(F276*G276,2)</f>
        <v>0</v>
      </c>
      <c r="K276" s="25" t="s">
        <v>55</v>
      </c>
      <c r="Z276" s="24">
        <f>ROUND(IF(AQ276="5",BJ276,0),2)</f>
        <v>0</v>
      </c>
      <c r="AB276" s="24">
        <f>ROUND(IF(AQ276="1",BH276,0),2)</f>
        <v>0</v>
      </c>
      <c r="AC276" s="24">
        <f>ROUND(IF(AQ276="1",BI276,0),2)</f>
        <v>0</v>
      </c>
      <c r="AD276" s="24">
        <f>ROUND(IF(AQ276="7",BH276,0),2)</f>
        <v>0</v>
      </c>
      <c r="AE276" s="24">
        <f>ROUND(IF(AQ276="7",BI276,0),2)</f>
        <v>0</v>
      </c>
      <c r="AF276" s="24">
        <f>ROUND(IF(AQ276="2",BH276,0),2)</f>
        <v>0</v>
      </c>
      <c r="AG276" s="24">
        <f>ROUND(IF(AQ276="2",BI276,0),2)</f>
        <v>0</v>
      </c>
      <c r="AH276" s="24">
        <f>ROUND(IF(AQ276="0",BJ276,0),2)</f>
        <v>0</v>
      </c>
      <c r="AI276" s="10" t="s">
        <v>48</v>
      </c>
      <c r="AJ276" s="24">
        <f>IF(AN276=0,J276,0)</f>
        <v>0</v>
      </c>
      <c r="AK276" s="24">
        <f>IF(AN276=12,J276,0)</f>
        <v>0</v>
      </c>
      <c r="AL276" s="24">
        <f>IF(AN276=21,J276,0)</f>
        <v>0</v>
      </c>
      <c r="AN276" s="24">
        <v>21</v>
      </c>
      <c r="AO276" s="24">
        <f>G276*0</f>
        <v>0</v>
      </c>
      <c r="AP276" s="24">
        <f>G276*(1-0)</f>
        <v>0</v>
      </c>
      <c r="AQ276" s="26" t="s">
        <v>75</v>
      </c>
      <c r="AV276" s="24">
        <f>ROUND(AW276+AX276,2)</f>
        <v>0</v>
      </c>
      <c r="AW276" s="24">
        <f>ROUND(F276*AO276,2)</f>
        <v>0</v>
      </c>
      <c r="AX276" s="24">
        <f>ROUND(F276*AP276,2)</f>
        <v>0</v>
      </c>
      <c r="AY276" s="26" t="s">
        <v>624</v>
      </c>
      <c r="AZ276" s="26" t="s">
        <v>624</v>
      </c>
      <c r="BA276" s="10" t="s">
        <v>57</v>
      </c>
      <c r="BC276" s="24">
        <f>AW276+AX276</f>
        <v>0</v>
      </c>
      <c r="BD276" s="24">
        <f>G276/(100-BE276)*100</f>
        <v>0</v>
      </c>
      <c r="BE276" s="24">
        <v>0</v>
      </c>
      <c r="BF276" s="24">
        <f>276</f>
        <v>276</v>
      </c>
      <c r="BH276" s="24">
        <f>F276*AO276</f>
        <v>0</v>
      </c>
      <c r="BI276" s="24">
        <f>F276*AP276</f>
        <v>0</v>
      </c>
      <c r="BJ276" s="24">
        <f>F276*G276</f>
        <v>0</v>
      </c>
      <c r="BK276" s="26" t="s">
        <v>58</v>
      </c>
      <c r="BL276" s="24"/>
      <c r="BW276" s="24">
        <v>21</v>
      </c>
      <c r="BX276" s="4" t="s">
        <v>637</v>
      </c>
    </row>
    <row r="277" spans="1:76" x14ac:dyDescent="0.25">
      <c r="A277" s="27"/>
      <c r="C277" s="28" t="s">
        <v>638</v>
      </c>
      <c r="D277" s="28" t="s">
        <v>48</v>
      </c>
      <c r="F277" s="29">
        <v>163.80000000000001</v>
      </c>
      <c r="K277" s="30"/>
    </row>
    <row r="278" spans="1:76" x14ac:dyDescent="0.25">
      <c r="A278" s="2" t="s">
        <v>639</v>
      </c>
      <c r="B278" s="3" t="s">
        <v>640</v>
      </c>
      <c r="C278" s="109" t="s">
        <v>641</v>
      </c>
      <c r="D278" s="106"/>
      <c r="E278" s="3" t="s">
        <v>104</v>
      </c>
      <c r="F278" s="24">
        <v>0.98</v>
      </c>
      <c r="G278" s="24">
        <v>0</v>
      </c>
      <c r="H278" s="24">
        <f>ROUND(F278*AO278,2)</f>
        <v>0</v>
      </c>
      <c r="I278" s="24">
        <f>ROUND(F278*AP278,2)</f>
        <v>0</v>
      </c>
      <c r="J278" s="24">
        <f>ROUND(F278*G278,2)</f>
        <v>0</v>
      </c>
      <c r="K278" s="25" t="s">
        <v>55</v>
      </c>
      <c r="Z278" s="24">
        <f>ROUND(IF(AQ278="5",BJ278,0),2)</f>
        <v>0</v>
      </c>
      <c r="AB278" s="24">
        <f>ROUND(IF(AQ278="1",BH278,0),2)</f>
        <v>0</v>
      </c>
      <c r="AC278" s="24">
        <f>ROUND(IF(AQ278="1",BI278,0),2)</f>
        <v>0</v>
      </c>
      <c r="AD278" s="24">
        <f>ROUND(IF(AQ278="7",BH278,0),2)</f>
        <v>0</v>
      </c>
      <c r="AE278" s="24">
        <f>ROUND(IF(AQ278="7",BI278,0),2)</f>
        <v>0</v>
      </c>
      <c r="AF278" s="24">
        <f>ROUND(IF(AQ278="2",BH278,0),2)</f>
        <v>0</v>
      </c>
      <c r="AG278" s="24">
        <f>ROUND(IF(AQ278="2",BI278,0),2)</f>
        <v>0</v>
      </c>
      <c r="AH278" s="24">
        <f>ROUND(IF(AQ278="0",BJ278,0),2)</f>
        <v>0</v>
      </c>
      <c r="AI278" s="10" t="s">
        <v>48</v>
      </c>
      <c r="AJ278" s="24">
        <f>IF(AN278=0,J278,0)</f>
        <v>0</v>
      </c>
      <c r="AK278" s="24">
        <f>IF(AN278=12,J278,0)</f>
        <v>0</v>
      </c>
      <c r="AL278" s="24">
        <f>IF(AN278=21,J278,0)</f>
        <v>0</v>
      </c>
      <c r="AN278" s="24">
        <v>21</v>
      </c>
      <c r="AO278" s="24">
        <f>G278*0</f>
        <v>0</v>
      </c>
      <c r="AP278" s="24">
        <f>G278*(1-0)</f>
        <v>0</v>
      </c>
      <c r="AQ278" s="26" t="s">
        <v>75</v>
      </c>
      <c r="AV278" s="24">
        <f>ROUND(AW278+AX278,2)</f>
        <v>0</v>
      </c>
      <c r="AW278" s="24">
        <f>ROUND(F278*AO278,2)</f>
        <v>0</v>
      </c>
      <c r="AX278" s="24">
        <f>ROUND(F278*AP278,2)</f>
        <v>0</v>
      </c>
      <c r="AY278" s="26" t="s">
        <v>624</v>
      </c>
      <c r="AZ278" s="26" t="s">
        <v>624</v>
      </c>
      <c r="BA278" s="10" t="s">
        <v>57</v>
      </c>
      <c r="BC278" s="24">
        <f>AW278+AX278</f>
        <v>0</v>
      </c>
      <c r="BD278" s="24">
        <f>G278/(100-BE278)*100</f>
        <v>0</v>
      </c>
      <c r="BE278" s="24">
        <v>0</v>
      </c>
      <c r="BF278" s="24">
        <f>278</f>
        <v>278</v>
      </c>
      <c r="BH278" s="24">
        <f>F278*AO278</f>
        <v>0</v>
      </c>
      <c r="BI278" s="24">
        <f>F278*AP278</f>
        <v>0</v>
      </c>
      <c r="BJ278" s="24">
        <f>F278*G278</f>
        <v>0</v>
      </c>
      <c r="BK278" s="26" t="s">
        <v>58</v>
      </c>
      <c r="BL278" s="24"/>
      <c r="BW278" s="24">
        <v>21</v>
      </c>
      <c r="BX278" s="4" t="s">
        <v>641</v>
      </c>
    </row>
    <row r="279" spans="1:76" x14ac:dyDescent="0.25">
      <c r="A279" s="2" t="s">
        <v>642</v>
      </c>
      <c r="B279" s="3" t="s">
        <v>643</v>
      </c>
      <c r="C279" s="109" t="s">
        <v>644</v>
      </c>
      <c r="D279" s="106"/>
      <c r="E279" s="3" t="s">
        <v>104</v>
      </c>
      <c r="F279" s="24">
        <v>53.29</v>
      </c>
      <c r="G279" s="24">
        <v>0</v>
      </c>
      <c r="H279" s="24">
        <f>ROUND(F279*AO279,2)</f>
        <v>0</v>
      </c>
      <c r="I279" s="24">
        <f>ROUND(F279*AP279,2)</f>
        <v>0</v>
      </c>
      <c r="J279" s="24">
        <f>ROUND(F279*G279,2)</f>
        <v>0</v>
      </c>
      <c r="K279" s="25" t="s">
        <v>55</v>
      </c>
      <c r="Z279" s="24">
        <f>ROUND(IF(AQ279="5",BJ279,0),2)</f>
        <v>0</v>
      </c>
      <c r="AB279" s="24">
        <f>ROUND(IF(AQ279="1",BH279,0),2)</f>
        <v>0</v>
      </c>
      <c r="AC279" s="24">
        <f>ROUND(IF(AQ279="1",BI279,0),2)</f>
        <v>0</v>
      </c>
      <c r="AD279" s="24">
        <f>ROUND(IF(AQ279="7",BH279,0),2)</f>
        <v>0</v>
      </c>
      <c r="AE279" s="24">
        <f>ROUND(IF(AQ279="7",BI279,0),2)</f>
        <v>0</v>
      </c>
      <c r="AF279" s="24">
        <f>ROUND(IF(AQ279="2",BH279,0),2)</f>
        <v>0</v>
      </c>
      <c r="AG279" s="24">
        <f>ROUND(IF(AQ279="2",BI279,0),2)</f>
        <v>0</v>
      </c>
      <c r="AH279" s="24">
        <f>ROUND(IF(AQ279="0",BJ279,0),2)</f>
        <v>0</v>
      </c>
      <c r="AI279" s="10" t="s">
        <v>48</v>
      </c>
      <c r="AJ279" s="24">
        <f>IF(AN279=0,J279,0)</f>
        <v>0</v>
      </c>
      <c r="AK279" s="24">
        <f>IF(AN279=12,J279,0)</f>
        <v>0</v>
      </c>
      <c r="AL279" s="24">
        <f>IF(AN279=21,J279,0)</f>
        <v>0</v>
      </c>
      <c r="AN279" s="24">
        <v>21</v>
      </c>
      <c r="AO279" s="24">
        <f>G279*0</f>
        <v>0</v>
      </c>
      <c r="AP279" s="24">
        <f>G279*(1-0)</f>
        <v>0</v>
      </c>
      <c r="AQ279" s="26" t="s">
        <v>75</v>
      </c>
      <c r="AV279" s="24">
        <f>ROUND(AW279+AX279,2)</f>
        <v>0</v>
      </c>
      <c r="AW279" s="24">
        <f>ROUND(F279*AO279,2)</f>
        <v>0</v>
      </c>
      <c r="AX279" s="24">
        <f>ROUND(F279*AP279,2)</f>
        <v>0</v>
      </c>
      <c r="AY279" s="26" t="s">
        <v>624</v>
      </c>
      <c r="AZ279" s="26" t="s">
        <v>624</v>
      </c>
      <c r="BA279" s="10" t="s">
        <v>57</v>
      </c>
      <c r="BC279" s="24">
        <f>AW279+AX279</f>
        <v>0</v>
      </c>
      <c r="BD279" s="24">
        <f>G279/(100-BE279)*100</f>
        <v>0</v>
      </c>
      <c r="BE279" s="24">
        <v>0</v>
      </c>
      <c r="BF279" s="24">
        <f>279</f>
        <v>279</v>
      </c>
      <c r="BH279" s="24">
        <f>F279*AO279</f>
        <v>0</v>
      </c>
      <c r="BI279" s="24">
        <f>F279*AP279</f>
        <v>0</v>
      </c>
      <c r="BJ279" s="24">
        <f>F279*G279</f>
        <v>0</v>
      </c>
      <c r="BK279" s="26" t="s">
        <v>58</v>
      </c>
      <c r="BL279" s="24"/>
      <c r="BW279" s="24">
        <v>21</v>
      </c>
      <c r="BX279" s="4" t="s">
        <v>644</v>
      </c>
    </row>
    <row r="280" spans="1:76" x14ac:dyDescent="0.25">
      <c r="A280" s="2" t="s">
        <v>645</v>
      </c>
      <c r="B280" s="3" t="s">
        <v>646</v>
      </c>
      <c r="C280" s="109" t="s">
        <v>647</v>
      </c>
      <c r="D280" s="106"/>
      <c r="E280" s="3" t="s">
        <v>104</v>
      </c>
      <c r="F280" s="24">
        <v>0.18</v>
      </c>
      <c r="G280" s="24">
        <v>0</v>
      </c>
      <c r="H280" s="24">
        <f>ROUND(F280*AO280,2)</f>
        <v>0</v>
      </c>
      <c r="I280" s="24">
        <f>ROUND(F280*AP280,2)</f>
        <v>0</v>
      </c>
      <c r="J280" s="24">
        <f>ROUND(F280*G280,2)</f>
        <v>0</v>
      </c>
      <c r="K280" s="25" t="s">
        <v>55</v>
      </c>
      <c r="Z280" s="24">
        <f>ROUND(IF(AQ280="5",BJ280,0),2)</f>
        <v>0</v>
      </c>
      <c r="AB280" s="24">
        <f>ROUND(IF(AQ280="1",BH280,0),2)</f>
        <v>0</v>
      </c>
      <c r="AC280" s="24">
        <f>ROUND(IF(AQ280="1",BI280,0),2)</f>
        <v>0</v>
      </c>
      <c r="AD280" s="24">
        <f>ROUND(IF(AQ280="7",BH280,0),2)</f>
        <v>0</v>
      </c>
      <c r="AE280" s="24">
        <f>ROUND(IF(AQ280="7",BI280,0),2)</f>
        <v>0</v>
      </c>
      <c r="AF280" s="24">
        <f>ROUND(IF(AQ280="2",BH280,0),2)</f>
        <v>0</v>
      </c>
      <c r="AG280" s="24">
        <f>ROUND(IF(AQ280="2",BI280,0),2)</f>
        <v>0</v>
      </c>
      <c r="AH280" s="24">
        <f>ROUND(IF(AQ280="0",BJ280,0),2)</f>
        <v>0</v>
      </c>
      <c r="AI280" s="10" t="s">
        <v>48</v>
      </c>
      <c r="AJ280" s="24">
        <f>IF(AN280=0,J280,0)</f>
        <v>0</v>
      </c>
      <c r="AK280" s="24">
        <f>IF(AN280=12,J280,0)</f>
        <v>0</v>
      </c>
      <c r="AL280" s="24">
        <f>IF(AN280=21,J280,0)</f>
        <v>0</v>
      </c>
      <c r="AN280" s="24">
        <v>21</v>
      </c>
      <c r="AO280" s="24">
        <f>G280*0</f>
        <v>0</v>
      </c>
      <c r="AP280" s="24">
        <f>G280*(1-0)</f>
        <v>0</v>
      </c>
      <c r="AQ280" s="26" t="s">
        <v>75</v>
      </c>
      <c r="AV280" s="24">
        <f>ROUND(AW280+AX280,2)</f>
        <v>0</v>
      </c>
      <c r="AW280" s="24">
        <f>ROUND(F280*AO280,2)</f>
        <v>0</v>
      </c>
      <c r="AX280" s="24">
        <f>ROUND(F280*AP280,2)</f>
        <v>0</v>
      </c>
      <c r="AY280" s="26" t="s">
        <v>624</v>
      </c>
      <c r="AZ280" s="26" t="s">
        <v>624</v>
      </c>
      <c r="BA280" s="10" t="s">
        <v>57</v>
      </c>
      <c r="BC280" s="24">
        <f>AW280+AX280</f>
        <v>0</v>
      </c>
      <c r="BD280" s="24">
        <f>G280/(100-BE280)*100</f>
        <v>0</v>
      </c>
      <c r="BE280" s="24">
        <v>0</v>
      </c>
      <c r="BF280" s="24">
        <f>280</f>
        <v>280</v>
      </c>
      <c r="BH280" s="24">
        <f>F280*AO280</f>
        <v>0</v>
      </c>
      <c r="BI280" s="24">
        <f>F280*AP280</f>
        <v>0</v>
      </c>
      <c r="BJ280" s="24">
        <f>F280*G280</f>
        <v>0</v>
      </c>
      <c r="BK280" s="26" t="s">
        <v>58</v>
      </c>
      <c r="BL280" s="24"/>
      <c r="BW280" s="24">
        <v>21</v>
      </c>
      <c r="BX280" s="4" t="s">
        <v>647</v>
      </c>
    </row>
    <row r="281" spans="1:76" x14ac:dyDescent="0.25">
      <c r="A281" s="2" t="s">
        <v>648</v>
      </c>
      <c r="B281" s="3" t="s">
        <v>649</v>
      </c>
      <c r="C281" s="109" t="s">
        <v>650</v>
      </c>
      <c r="D281" s="106"/>
      <c r="E281" s="3" t="s">
        <v>104</v>
      </c>
      <c r="F281" s="24">
        <v>0.15</v>
      </c>
      <c r="G281" s="24">
        <v>0</v>
      </c>
      <c r="H281" s="24">
        <f>ROUND(F281*AO281,2)</f>
        <v>0</v>
      </c>
      <c r="I281" s="24">
        <f>ROUND(F281*AP281,2)</f>
        <v>0</v>
      </c>
      <c r="J281" s="24">
        <f>ROUND(F281*G281,2)</f>
        <v>0</v>
      </c>
      <c r="K281" s="25" t="s">
        <v>55</v>
      </c>
      <c r="Z281" s="24">
        <f>ROUND(IF(AQ281="5",BJ281,0),2)</f>
        <v>0</v>
      </c>
      <c r="AB281" s="24">
        <f>ROUND(IF(AQ281="1",BH281,0),2)</f>
        <v>0</v>
      </c>
      <c r="AC281" s="24">
        <f>ROUND(IF(AQ281="1",BI281,0),2)</f>
        <v>0</v>
      </c>
      <c r="AD281" s="24">
        <f>ROUND(IF(AQ281="7",BH281,0),2)</f>
        <v>0</v>
      </c>
      <c r="AE281" s="24">
        <f>ROUND(IF(AQ281="7",BI281,0),2)</f>
        <v>0</v>
      </c>
      <c r="AF281" s="24">
        <f>ROUND(IF(AQ281="2",BH281,0),2)</f>
        <v>0</v>
      </c>
      <c r="AG281" s="24">
        <f>ROUND(IF(AQ281="2",BI281,0),2)</f>
        <v>0</v>
      </c>
      <c r="AH281" s="24">
        <f>ROUND(IF(AQ281="0",BJ281,0),2)</f>
        <v>0</v>
      </c>
      <c r="AI281" s="10" t="s">
        <v>48</v>
      </c>
      <c r="AJ281" s="24">
        <f>IF(AN281=0,J281,0)</f>
        <v>0</v>
      </c>
      <c r="AK281" s="24">
        <f>IF(AN281=12,J281,0)</f>
        <v>0</v>
      </c>
      <c r="AL281" s="24">
        <f>IF(AN281=21,J281,0)</f>
        <v>0</v>
      </c>
      <c r="AN281" s="24">
        <v>21</v>
      </c>
      <c r="AO281" s="24">
        <f>G281*0</f>
        <v>0</v>
      </c>
      <c r="AP281" s="24">
        <f>G281*(1-0)</f>
        <v>0</v>
      </c>
      <c r="AQ281" s="26" t="s">
        <v>75</v>
      </c>
      <c r="AV281" s="24">
        <f>ROUND(AW281+AX281,2)</f>
        <v>0</v>
      </c>
      <c r="AW281" s="24">
        <f>ROUND(F281*AO281,2)</f>
        <v>0</v>
      </c>
      <c r="AX281" s="24">
        <f>ROUND(F281*AP281,2)</f>
        <v>0</v>
      </c>
      <c r="AY281" s="26" t="s">
        <v>624</v>
      </c>
      <c r="AZ281" s="26" t="s">
        <v>624</v>
      </c>
      <c r="BA281" s="10" t="s">
        <v>57</v>
      </c>
      <c r="BC281" s="24">
        <f>AW281+AX281</f>
        <v>0</v>
      </c>
      <c r="BD281" s="24">
        <f>G281/(100-BE281)*100</f>
        <v>0</v>
      </c>
      <c r="BE281" s="24">
        <v>0</v>
      </c>
      <c r="BF281" s="24">
        <f>281</f>
        <v>281</v>
      </c>
      <c r="BH281" s="24">
        <f>F281*AO281</f>
        <v>0</v>
      </c>
      <c r="BI281" s="24">
        <f>F281*AP281</f>
        <v>0</v>
      </c>
      <c r="BJ281" s="24">
        <f>F281*G281</f>
        <v>0</v>
      </c>
      <c r="BK281" s="26" t="s">
        <v>58</v>
      </c>
      <c r="BL281" s="24"/>
      <c r="BW281" s="24">
        <v>21</v>
      </c>
      <c r="BX281" s="4" t="s">
        <v>650</v>
      </c>
    </row>
    <row r="282" spans="1:76" x14ac:dyDescent="0.25">
      <c r="A282" s="2" t="s">
        <v>651</v>
      </c>
      <c r="B282" s="3" t="s">
        <v>652</v>
      </c>
      <c r="C282" s="109" t="s">
        <v>653</v>
      </c>
      <c r="D282" s="106"/>
      <c r="E282" s="3" t="s">
        <v>104</v>
      </c>
      <c r="F282" s="24">
        <v>13.1</v>
      </c>
      <c r="G282" s="24">
        <v>0</v>
      </c>
      <c r="H282" s="24">
        <f>ROUND(F282*AO282,2)</f>
        <v>0</v>
      </c>
      <c r="I282" s="24">
        <f>ROUND(F282*AP282,2)</f>
        <v>0</v>
      </c>
      <c r="J282" s="24">
        <f>ROUND(F282*G282,2)</f>
        <v>0</v>
      </c>
      <c r="K282" s="25" t="s">
        <v>55</v>
      </c>
      <c r="Z282" s="24">
        <f>ROUND(IF(AQ282="5",BJ282,0),2)</f>
        <v>0</v>
      </c>
      <c r="AB282" s="24">
        <f>ROUND(IF(AQ282="1",BH282,0),2)</f>
        <v>0</v>
      </c>
      <c r="AC282" s="24">
        <f>ROUND(IF(AQ282="1",BI282,0),2)</f>
        <v>0</v>
      </c>
      <c r="AD282" s="24">
        <f>ROUND(IF(AQ282="7",BH282,0),2)</f>
        <v>0</v>
      </c>
      <c r="AE282" s="24">
        <f>ROUND(IF(AQ282="7",BI282,0),2)</f>
        <v>0</v>
      </c>
      <c r="AF282" s="24">
        <f>ROUND(IF(AQ282="2",BH282,0),2)</f>
        <v>0</v>
      </c>
      <c r="AG282" s="24">
        <f>ROUND(IF(AQ282="2",BI282,0),2)</f>
        <v>0</v>
      </c>
      <c r="AH282" s="24">
        <f>ROUND(IF(AQ282="0",BJ282,0),2)</f>
        <v>0</v>
      </c>
      <c r="AI282" s="10" t="s">
        <v>48</v>
      </c>
      <c r="AJ282" s="24">
        <f>IF(AN282=0,J282,0)</f>
        <v>0</v>
      </c>
      <c r="AK282" s="24">
        <f>IF(AN282=12,J282,0)</f>
        <v>0</v>
      </c>
      <c r="AL282" s="24">
        <f>IF(AN282=21,J282,0)</f>
        <v>0</v>
      </c>
      <c r="AN282" s="24">
        <v>21</v>
      </c>
      <c r="AO282" s="24">
        <f>G282*0</f>
        <v>0</v>
      </c>
      <c r="AP282" s="24">
        <f>G282*(1-0)</f>
        <v>0</v>
      </c>
      <c r="AQ282" s="26" t="s">
        <v>75</v>
      </c>
      <c r="AV282" s="24">
        <f>ROUND(AW282+AX282,2)</f>
        <v>0</v>
      </c>
      <c r="AW282" s="24">
        <f>ROUND(F282*AO282,2)</f>
        <v>0</v>
      </c>
      <c r="AX282" s="24">
        <f>ROUND(F282*AP282,2)</f>
        <v>0</v>
      </c>
      <c r="AY282" s="26" t="s">
        <v>624</v>
      </c>
      <c r="AZ282" s="26" t="s">
        <v>624</v>
      </c>
      <c r="BA282" s="10" t="s">
        <v>57</v>
      </c>
      <c r="BC282" s="24">
        <f>AW282+AX282</f>
        <v>0</v>
      </c>
      <c r="BD282" s="24">
        <f>G282/(100-BE282)*100</f>
        <v>0</v>
      </c>
      <c r="BE282" s="24">
        <v>0</v>
      </c>
      <c r="BF282" s="24">
        <f>282</f>
        <v>282</v>
      </c>
      <c r="BH282" s="24">
        <f>F282*AO282</f>
        <v>0</v>
      </c>
      <c r="BI282" s="24">
        <f>F282*AP282</f>
        <v>0</v>
      </c>
      <c r="BJ282" s="24">
        <f>F282*G282</f>
        <v>0</v>
      </c>
      <c r="BK282" s="26" t="s">
        <v>58</v>
      </c>
      <c r="BL282" s="24"/>
      <c r="BW282" s="24">
        <v>21</v>
      </c>
      <c r="BX282" s="4" t="s">
        <v>653</v>
      </c>
    </row>
    <row r="283" spans="1:76" x14ac:dyDescent="0.25">
      <c r="A283" s="27"/>
      <c r="C283" s="28" t="s">
        <v>654</v>
      </c>
      <c r="D283" s="28" t="s">
        <v>60</v>
      </c>
      <c r="F283" s="29">
        <v>13.1</v>
      </c>
      <c r="K283" s="30"/>
    </row>
    <row r="284" spans="1:76" x14ac:dyDescent="0.25">
      <c r="A284" s="31" t="s">
        <v>48</v>
      </c>
      <c r="B284" s="32" t="s">
        <v>655</v>
      </c>
      <c r="C284" s="181" t="s">
        <v>656</v>
      </c>
      <c r="D284" s="182"/>
      <c r="E284" s="33" t="s">
        <v>4</v>
      </c>
      <c r="F284" s="33" t="s">
        <v>4</v>
      </c>
      <c r="G284" s="33" t="s">
        <v>4</v>
      </c>
      <c r="H284" s="1">
        <f>H285+H290</f>
        <v>0</v>
      </c>
      <c r="I284" s="1">
        <f>I285+I290</f>
        <v>0</v>
      </c>
      <c r="J284" s="1">
        <f>J285+J290</f>
        <v>0</v>
      </c>
      <c r="K284" s="34" t="s">
        <v>48</v>
      </c>
      <c r="AI284" s="10" t="s">
        <v>48</v>
      </c>
    </row>
    <row r="285" spans="1:76" x14ac:dyDescent="0.25">
      <c r="A285" s="31" t="s">
        <v>48</v>
      </c>
      <c r="B285" s="32" t="s">
        <v>657</v>
      </c>
      <c r="C285" s="181" t="s">
        <v>658</v>
      </c>
      <c r="D285" s="182"/>
      <c r="E285" s="33" t="s">
        <v>4</v>
      </c>
      <c r="F285" s="33" t="s">
        <v>4</v>
      </c>
      <c r="G285" s="33" t="s">
        <v>4</v>
      </c>
      <c r="H285" s="1">
        <f>ROUND(SUM(H286:H288),2)</f>
        <v>0</v>
      </c>
      <c r="I285" s="1">
        <f>ROUND(SUM(I286:I288),2)</f>
        <v>0</v>
      </c>
      <c r="J285" s="1">
        <f>ROUND(SUM(J286:J288),2)</f>
        <v>0</v>
      </c>
      <c r="K285" s="34" t="s">
        <v>48</v>
      </c>
      <c r="AI285" s="10" t="s">
        <v>48</v>
      </c>
      <c r="AS285" s="1">
        <f>SUM(AJ286:AJ288)</f>
        <v>0</v>
      </c>
      <c r="AT285" s="1">
        <f>SUM(AK286:AK288)</f>
        <v>0</v>
      </c>
      <c r="AU285" s="1">
        <f>SUM(AL286:AL288)</f>
        <v>0</v>
      </c>
    </row>
    <row r="286" spans="1:76" x14ac:dyDescent="0.25">
      <c r="A286" s="2" t="s">
        <v>659</v>
      </c>
      <c r="B286" s="3" t="s">
        <v>660</v>
      </c>
      <c r="C286" s="109" t="s">
        <v>661</v>
      </c>
      <c r="D286" s="106"/>
      <c r="E286" s="3" t="s">
        <v>662</v>
      </c>
      <c r="F286" s="24">
        <v>5</v>
      </c>
      <c r="G286" s="24">
        <v>0</v>
      </c>
      <c r="H286" s="24">
        <f>ROUND(F286*AO286,2)</f>
        <v>0</v>
      </c>
      <c r="I286" s="24">
        <f>ROUND(F286*AP286,2)</f>
        <v>0</v>
      </c>
      <c r="J286" s="24">
        <f>ROUND(F286*G286,2)</f>
        <v>0</v>
      </c>
      <c r="K286" s="25" t="s">
        <v>55</v>
      </c>
      <c r="Z286" s="24">
        <f>ROUND(IF(AQ286="5",BJ286,0),2)</f>
        <v>0</v>
      </c>
      <c r="AB286" s="24">
        <f>ROUND(IF(AQ286="1",BH286,0),2)</f>
        <v>0</v>
      </c>
      <c r="AC286" s="24">
        <f>ROUND(IF(AQ286="1",BI286,0),2)</f>
        <v>0</v>
      </c>
      <c r="AD286" s="24">
        <f>ROUND(IF(AQ286="7",BH286,0),2)</f>
        <v>0</v>
      </c>
      <c r="AE286" s="24">
        <f>ROUND(IF(AQ286="7",BI286,0),2)</f>
        <v>0</v>
      </c>
      <c r="AF286" s="24">
        <f>ROUND(IF(AQ286="2",BH286,0),2)</f>
        <v>0</v>
      </c>
      <c r="AG286" s="24">
        <f>ROUND(IF(AQ286="2",BI286,0),2)</f>
        <v>0</v>
      </c>
      <c r="AH286" s="24">
        <f>ROUND(IF(AQ286="0",BJ286,0),2)</f>
        <v>0</v>
      </c>
      <c r="AI286" s="10" t="s">
        <v>48</v>
      </c>
      <c r="AJ286" s="24">
        <f>IF(AN286=0,J286,0)</f>
        <v>0</v>
      </c>
      <c r="AK286" s="24">
        <f>IF(AN286=12,J286,0)</f>
        <v>0</v>
      </c>
      <c r="AL286" s="24">
        <f>IF(AN286=21,J286,0)</f>
        <v>0</v>
      </c>
      <c r="AN286" s="24">
        <v>21</v>
      </c>
      <c r="AO286" s="24">
        <f>G286*0</f>
        <v>0</v>
      </c>
      <c r="AP286" s="24">
        <f>G286*(1-0)</f>
        <v>0</v>
      </c>
      <c r="AQ286" s="26" t="s">
        <v>512</v>
      </c>
      <c r="AV286" s="24">
        <f>ROUND(AW286+AX286,2)</f>
        <v>0</v>
      </c>
      <c r="AW286" s="24">
        <f>ROUND(F286*AO286,2)</f>
        <v>0</v>
      </c>
      <c r="AX286" s="24">
        <f>ROUND(F286*AP286,2)</f>
        <v>0</v>
      </c>
      <c r="AY286" s="26" t="s">
        <v>663</v>
      </c>
      <c r="AZ286" s="26" t="s">
        <v>663</v>
      </c>
      <c r="BA286" s="10" t="s">
        <v>57</v>
      </c>
      <c r="BC286" s="24">
        <f>AW286+AX286</f>
        <v>0</v>
      </c>
      <c r="BD286" s="24">
        <f>G286/(100-BE286)*100</f>
        <v>0</v>
      </c>
      <c r="BE286" s="24">
        <v>0</v>
      </c>
      <c r="BF286" s="24">
        <f>286</f>
        <v>286</v>
      </c>
      <c r="BH286" s="24">
        <f>F286*AO286</f>
        <v>0</v>
      </c>
      <c r="BI286" s="24">
        <f>F286*AP286</f>
        <v>0</v>
      </c>
      <c r="BJ286" s="24">
        <f>F286*G286</f>
        <v>0</v>
      </c>
      <c r="BK286" s="26" t="s">
        <v>58</v>
      </c>
      <c r="BL286" s="24"/>
      <c r="BO286" s="24">
        <f>F286*G286</f>
        <v>0</v>
      </c>
      <c r="BW286" s="24">
        <v>21</v>
      </c>
      <c r="BX286" s="4" t="s">
        <v>661</v>
      </c>
    </row>
    <row r="287" spans="1:76" x14ac:dyDescent="0.25">
      <c r="A287" s="2" t="s">
        <v>664</v>
      </c>
      <c r="B287" s="3" t="s">
        <v>665</v>
      </c>
      <c r="C287" s="109" t="s">
        <v>666</v>
      </c>
      <c r="D287" s="106"/>
      <c r="E287" s="3" t="s">
        <v>662</v>
      </c>
      <c r="F287" s="24">
        <v>5</v>
      </c>
      <c r="G287" s="24">
        <v>0</v>
      </c>
      <c r="H287" s="24">
        <f>ROUND(F287*AO287,2)</f>
        <v>0</v>
      </c>
      <c r="I287" s="24">
        <f>ROUND(F287*AP287,2)</f>
        <v>0</v>
      </c>
      <c r="J287" s="24">
        <f>ROUND(F287*G287,2)</f>
        <v>0</v>
      </c>
      <c r="K287" s="25" t="s">
        <v>55</v>
      </c>
      <c r="Z287" s="24">
        <f>ROUND(IF(AQ287="5",BJ287,0),2)</f>
        <v>0</v>
      </c>
      <c r="AB287" s="24">
        <f>ROUND(IF(AQ287="1",BH287,0),2)</f>
        <v>0</v>
      </c>
      <c r="AC287" s="24">
        <f>ROUND(IF(AQ287="1",BI287,0),2)</f>
        <v>0</v>
      </c>
      <c r="AD287" s="24">
        <f>ROUND(IF(AQ287="7",BH287,0),2)</f>
        <v>0</v>
      </c>
      <c r="AE287" s="24">
        <f>ROUND(IF(AQ287="7",BI287,0),2)</f>
        <v>0</v>
      </c>
      <c r="AF287" s="24">
        <f>ROUND(IF(AQ287="2",BH287,0),2)</f>
        <v>0</v>
      </c>
      <c r="AG287" s="24">
        <f>ROUND(IF(AQ287="2",BI287,0),2)</f>
        <v>0</v>
      </c>
      <c r="AH287" s="24">
        <f>ROUND(IF(AQ287="0",BJ287,0),2)</f>
        <v>0</v>
      </c>
      <c r="AI287" s="10" t="s">
        <v>48</v>
      </c>
      <c r="AJ287" s="24">
        <f>IF(AN287=0,J287,0)</f>
        <v>0</v>
      </c>
      <c r="AK287" s="24">
        <f>IF(AN287=12,J287,0)</f>
        <v>0</v>
      </c>
      <c r="AL287" s="24">
        <f>IF(AN287=21,J287,0)</f>
        <v>0</v>
      </c>
      <c r="AN287" s="24">
        <v>21</v>
      </c>
      <c r="AO287" s="24">
        <f>G287*0</f>
        <v>0</v>
      </c>
      <c r="AP287" s="24">
        <f>G287*(1-0)</f>
        <v>0</v>
      </c>
      <c r="AQ287" s="26" t="s">
        <v>512</v>
      </c>
      <c r="AV287" s="24">
        <f>ROUND(AW287+AX287,2)</f>
        <v>0</v>
      </c>
      <c r="AW287" s="24">
        <f>ROUND(F287*AO287,2)</f>
        <v>0</v>
      </c>
      <c r="AX287" s="24">
        <f>ROUND(F287*AP287,2)</f>
        <v>0</v>
      </c>
      <c r="AY287" s="26" t="s">
        <v>663</v>
      </c>
      <c r="AZ287" s="26" t="s">
        <v>663</v>
      </c>
      <c r="BA287" s="10" t="s">
        <v>57</v>
      </c>
      <c r="BC287" s="24">
        <f>AW287+AX287</f>
        <v>0</v>
      </c>
      <c r="BD287" s="24">
        <f>G287/(100-BE287)*100</f>
        <v>0</v>
      </c>
      <c r="BE287" s="24">
        <v>0</v>
      </c>
      <c r="BF287" s="24">
        <f>287</f>
        <v>287</v>
      </c>
      <c r="BH287" s="24">
        <f>F287*AO287</f>
        <v>0</v>
      </c>
      <c r="BI287" s="24">
        <f>F287*AP287</f>
        <v>0</v>
      </c>
      <c r="BJ287" s="24">
        <f>F287*G287</f>
        <v>0</v>
      </c>
      <c r="BK287" s="26" t="s">
        <v>58</v>
      </c>
      <c r="BL287" s="24"/>
      <c r="BO287" s="24">
        <f>F287*G287</f>
        <v>0</v>
      </c>
      <c r="BW287" s="24">
        <v>21</v>
      </c>
      <c r="BX287" s="4" t="s">
        <v>666</v>
      </c>
    </row>
    <row r="288" spans="1:76" x14ac:dyDescent="0.25">
      <c r="A288" s="2" t="s">
        <v>667</v>
      </c>
      <c r="B288" s="3" t="s">
        <v>668</v>
      </c>
      <c r="C288" s="109" t="s">
        <v>669</v>
      </c>
      <c r="D288" s="106"/>
      <c r="E288" s="3" t="s">
        <v>190</v>
      </c>
      <c r="F288" s="24">
        <v>35</v>
      </c>
      <c r="G288" s="24">
        <v>0</v>
      </c>
      <c r="H288" s="24">
        <f>ROUND(F288*AO288,2)</f>
        <v>0</v>
      </c>
      <c r="I288" s="24">
        <f>ROUND(F288*AP288,2)</f>
        <v>0</v>
      </c>
      <c r="J288" s="24">
        <f>ROUND(F288*G288,2)</f>
        <v>0</v>
      </c>
      <c r="K288" s="25" t="s">
        <v>55</v>
      </c>
      <c r="Z288" s="24">
        <f>ROUND(IF(AQ288="5",BJ288,0),2)</f>
        <v>0</v>
      </c>
      <c r="AB288" s="24">
        <f>ROUND(IF(AQ288="1",BH288,0),2)</f>
        <v>0</v>
      </c>
      <c r="AC288" s="24">
        <f>ROUND(IF(AQ288="1",BI288,0),2)</f>
        <v>0</v>
      </c>
      <c r="AD288" s="24">
        <f>ROUND(IF(AQ288="7",BH288,0),2)</f>
        <v>0</v>
      </c>
      <c r="AE288" s="24">
        <f>ROUND(IF(AQ288="7",BI288,0),2)</f>
        <v>0</v>
      </c>
      <c r="AF288" s="24">
        <f>ROUND(IF(AQ288="2",BH288,0),2)</f>
        <v>0</v>
      </c>
      <c r="AG288" s="24">
        <f>ROUND(IF(AQ288="2",BI288,0),2)</f>
        <v>0</v>
      </c>
      <c r="AH288" s="24">
        <f>ROUND(IF(AQ288="0",BJ288,0),2)</f>
        <v>0</v>
      </c>
      <c r="AI288" s="10" t="s">
        <v>48</v>
      </c>
      <c r="AJ288" s="24">
        <f>IF(AN288=0,J288,0)</f>
        <v>0</v>
      </c>
      <c r="AK288" s="24">
        <f>IF(AN288=12,J288,0)</f>
        <v>0</v>
      </c>
      <c r="AL288" s="24">
        <f>IF(AN288=21,J288,0)</f>
        <v>0</v>
      </c>
      <c r="AN288" s="24">
        <v>21</v>
      </c>
      <c r="AO288" s="24">
        <f>G288*0</f>
        <v>0</v>
      </c>
      <c r="AP288" s="24">
        <f>G288*(1-0)</f>
        <v>0</v>
      </c>
      <c r="AQ288" s="26" t="s">
        <v>512</v>
      </c>
      <c r="AV288" s="24">
        <f>ROUND(AW288+AX288,2)</f>
        <v>0</v>
      </c>
      <c r="AW288" s="24">
        <f>ROUND(F288*AO288,2)</f>
        <v>0</v>
      </c>
      <c r="AX288" s="24">
        <f>ROUND(F288*AP288,2)</f>
        <v>0</v>
      </c>
      <c r="AY288" s="26" t="s">
        <v>663</v>
      </c>
      <c r="AZ288" s="26" t="s">
        <v>663</v>
      </c>
      <c r="BA288" s="10" t="s">
        <v>57</v>
      </c>
      <c r="BC288" s="24">
        <f>AW288+AX288</f>
        <v>0</v>
      </c>
      <c r="BD288" s="24">
        <f>G288/(100-BE288)*100</f>
        <v>0</v>
      </c>
      <c r="BE288" s="24">
        <v>0</v>
      </c>
      <c r="BF288" s="24">
        <f>288</f>
        <v>288</v>
      </c>
      <c r="BH288" s="24">
        <f>F288*AO288</f>
        <v>0</v>
      </c>
      <c r="BI288" s="24">
        <f>F288*AP288</f>
        <v>0</v>
      </c>
      <c r="BJ288" s="24">
        <f>F288*G288</f>
        <v>0</v>
      </c>
      <c r="BK288" s="26" t="s">
        <v>58</v>
      </c>
      <c r="BL288" s="24"/>
      <c r="BO288" s="24">
        <f>F288*G288</f>
        <v>0</v>
      </c>
      <c r="BW288" s="24">
        <v>21</v>
      </c>
      <c r="BX288" s="4" t="s">
        <v>669</v>
      </c>
    </row>
    <row r="289" spans="1:76" x14ac:dyDescent="0.25">
      <c r="A289" s="27"/>
      <c r="C289" s="28" t="s">
        <v>227</v>
      </c>
      <c r="D289" s="28" t="s">
        <v>670</v>
      </c>
      <c r="F289" s="29">
        <v>35</v>
      </c>
      <c r="K289" s="30"/>
    </row>
    <row r="290" spans="1:76" x14ac:dyDescent="0.25">
      <c r="A290" s="31" t="s">
        <v>48</v>
      </c>
      <c r="B290" s="32" t="s">
        <v>671</v>
      </c>
      <c r="C290" s="181" t="s">
        <v>672</v>
      </c>
      <c r="D290" s="182"/>
      <c r="E290" s="33" t="s">
        <v>4</v>
      </c>
      <c r="F290" s="33" t="s">
        <v>4</v>
      </c>
      <c r="G290" s="33" t="s">
        <v>4</v>
      </c>
      <c r="H290" s="1">
        <f>ROUND(SUM(H291:H293),2)</f>
        <v>0</v>
      </c>
      <c r="I290" s="1">
        <f>ROUND(SUM(I291:I293),2)</f>
        <v>0</v>
      </c>
      <c r="J290" s="1">
        <f>ROUND(SUM(J291:J293),2)</f>
        <v>0</v>
      </c>
      <c r="K290" s="34" t="s">
        <v>48</v>
      </c>
      <c r="AI290" s="10" t="s">
        <v>48</v>
      </c>
      <c r="AS290" s="1">
        <f>SUM(AJ291:AJ293)</f>
        <v>0</v>
      </c>
      <c r="AT290" s="1">
        <f>SUM(AK291:AK293)</f>
        <v>0</v>
      </c>
      <c r="AU290" s="1">
        <f>SUM(AL291:AL293)</f>
        <v>0</v>
      </c>
    </row>
    <row r="291" spans="1:76" x14ac:dyDescent="0.25">
      <c r="A291" s="2" t="s">
        <v>673</v>
      </c>
      <c r="B291" s="3" t="s">
        <v>674</v>
      </c>
      <c r="C291" s="109" t="s">
        <v>675</v>
      </c>
      <c r="D291" s="106"/>
      <c r="E291" s="3" t="s">
        <v>676</v>
      </c>
      <c r="F291" s="24">
        <v>1</v>
      </c>
      <c r="G291" s="24">
        <v>0</v>
      </c>
      <c r="H291" s="24">
        <f>ROUND(F291*AO291,2)</f>
        <v>0</v>
      </c>
      <c r="I291" s="24">
        <f>ROUND(F291*AP291,2)</f>
        <v>0</v>
      </c>
      <c r="J291" s="24">
        <f>ROUND(F291*G291,2)</f>
        <v>0</v>
      </c>
      <c r="K291" s="25" t="s">
        <v>55</v>
      </c>
      <c r="Z291" s="24">
        <f>ROUND(IF(AQ291="5",BJ291,0),2)</f>
        <v>0</v>
      </c>
      <c r="AB291" s="24">
        <f>ROUND(IF(AQ291="1",BH291,0),2)</f>
        <v>0</v>
      </c>
      <c r="AC291" s="24">
        <f>ROUND(IF(AQ291="1",BI291,0),2)</f>
        <v>0</v>
      </c>
      <c r="AD291" s="24">
        <f>ROUND(IF(AQ291="7",BH291,0),2)</f>
        <v>0</v>
      </c>
      <c r="AE291" s="24">
        <f>ROUND(IF(AQ291="7",BI291,0),2)</f>
        <v>0</v>
      </c>
      <c r="AF291" s="24">
        <f>ROUND(IF(AQ291="2",BH291,0),2)</f>
        <v>0</v>
      </c>
      <c r="AG291" s="24">
        <f>ROUND(IF(AQ291="2",BI291,0),2)</f>
        <v>0</v>
      </c>
      <c r="AH291" s="24">
        <f>ROUND(IF(AQ291="0",BJ291,0),2)</f>
        <v>0</v>
      </c>
      <c r="AI291" s="10" t="s">
        <v>48</v>
      </c>
      <c r="AJ291" s="24">
        <f>IF(AN291=0,J291,0)</f>
        <v>0</v>
      </c>
      <c r="AK291" s="24">
        <f>IF(AN291=12,J291,0)</f>
        <v>0</v>
      </c>
      <c r="AL291" s="24">
        <f>IF(AN291=21,J291,0)</f>
        <v>0</v>
      </c>
      <c r="AN291" s="24">
        <v>21</v>
      </c>
      <c r="AO291" s="24">
        <f>G291*0</f>
        <v>0</v>
      </c>
      <c r="AP291" s="24">
        <f>G291*(1-0)</f>
        <v>0</v>
      </c>
      <c r="AQ291" s="26" t="s">
        <v>512</v>
      </c>
      <c r="AV291" s="24">
        <f>ROUND(AW291+AX291,2)</f>
        <v>0</v>
      </c>
      <c r="AW291" s="24">
        <f>ROUND(F291*AO291,2)</f>
        <v>0</v>
      </c>
      <c r="AX291" s="24">
        <f>ROUND(F291*AP291,2)</f>
        <v>0</v>
      </c>
      <c r="AY291" s="26" t="s">
        <v>677</v>
      </c>
      <c r="AZ291" s="26" t="s">
        <v>677</v>
      </c>
      <c r="BA291" s="10" t="s">
        <v>57</v>
      </c>
      <c r="BC291" s="24">
        <f>AW291+AX291</f>
        <v>0</v>
      </c>
      <c r="BD291" s="24">
        <f>G291/(100-BE291)*100</f>
        <v>0</v>
      </c>
      <c r="BE291" s="24">
        <v>0</v>
      </c>
      <c r="BF291" s="24">
        <f>291</f>
        <v>291</v>
      </c>
      <c r="BH291" s="24">
        <f>F291*AO291</f>
        <v>0</v>
      </c>
      <c r="BI291" s="24">
        <f>F291*AP291</f>
        <v>0</v>
      </c>
      <c r="BJ291" s="24">
        <f>F291*G291</f>
        <v>0</v>
      </c>
      <c r="BK291" s="26" t="s">
        <v>58</v>
      </c>
      <c r="BL291" s="24"/>
      <c r="BS291" s="24">
        <f>F291*G291</f>
        <v>0</v>
      </c>
      <c r="BW291" s="24">
        <v>21</v>
      </c>
      <c r="BX291" s="4" t="s">
        <v>675</v>
      </c>
    </row>
    <row r="292" spans="1:76" x14ac:dyDescent="0.25">
      <c r="A292" s="27"/>
      <c r="C292" s="28" t="s">
        <v>51</v>
      </c>
      <c r="D292" s="28" t="s">
        <v>678</v>
      </c>
      <c r="F292" s="29">
        <v>1</v>
      </c>
      <c r="K292" s="30"/>
    </row>
    <row r="293" spans="1:76" x14ac:dyDescent="0.25">
      <c r="A293" s="2" t="s">
        <v>679</v>
      </c>
      <c r="B293" s="3" t="s">
        <v>680</v>
      </c>
      <c r="C293" s="109" t="s">
        <v>681</v>
      </c>
      <c r="D293" s="106"/>
      <c r="E293" s="3" t="s">
        <v>676</v>
      </c>
      <c r="F293" s="24">
        <v>1</v>
      </c>
      <c r="G293" s="24">
        <v>0</v>
      </c>
      <c r="H293" s="24">
        <f>ROUND(F293*AO293,2)</f>
        <v>0</v>
      </c>
      <c r="I293" s="24">
        <f>ROUND(F293*AP293,2)</f>
        <v>0</v>
      </c>
      <c r="J293" s="24">
        <f>ROUND(F293*G293,2)</f>
        <v>0</v>
      </c>
      <c r="K293" s="25" t="s">
        <v>55</v>
      </c>
      <c r="Z293" s="24">
        <f>ROUND(IF(AQ293="5",BJ293,0),2)</f>
        <v>0</v>
      </c>
      <c r="AB293" s="24">
        <f>ROUND(IF(AQ293="1",BH293,0),2)</f>
        <v>0</v>
      </c>
      <c r="AC293" s="24">
        <f>ROUND(IF(AQ293="1",BI293,0),2)</f>
        <v>0</v>
      </c>
      <c r="AD293" s="24">
        <f>ROUND(IF(AQ293="7",BH293,0),2)</f>
        <v>0</v>
      </c>
      <c r="AE293" s="24">
        <f>ROUND(IF(AQ293="7",BI293,0),2)</f>
        <v>0</v>
      </c>
      <c r="AF293" s="24">
        <f>ROUND(IF(AQ293="2",BH293,0),2)</f>
        <v>0</v>
      </c>
      <c r="AG293" s="24">
        <f>ROUND(IF(AQ293="2",BI293,0),2)</f>
        <v>0</v>
      </c>
      <c r="AH293" s="24">
        <f>ROUND(IF(AQ293="0",BJ293,0),2)</f>
        <v>0</v>
      </c>
      <c r="AI293" s="10" t="s">
        <v>48</v>
      </c>
      <c r="AJ293" s="24">
        <f>IF(AN293=0,J293,0)</f>
        <v>0</v>
      </c>
      <c r="AK293" s="24">
        <f>IF(AN293=12,J293,0)</f>
        <v>0</v>
      </c>
      <c r="AL293" s="24">
        <f>IF(AN293=21,J293,0)</f>
        <v>0</v>
      </c>
      <c r="AN293" s="24">
        <v>21</v>
      </c>
      <c r="AO293" s="24">
        <f>G293*0</f>
        <v>0</v>
      </c>
      <c r="AP293" s="24">
        <f>G293*(1-0)</f>
        <v>0</v>
      </c>
      <c r="AQ293" s="26" t="s">
        <v>512</v>
      </c>
      <c r="AV293" s="24">
        <f>ROUND(AW293+AX293,2)</f>
        <v>0</v>
      </c>
      <c r="AW293" s="24">
        <f>ROUND(F293*AO293,2)</f>
        <v>0</v>
      </c>
      <c r="AX293" s="24">
        <f>ROUND(F293*AP293,2)</f>
        <v>0</v>
      </c>
      <c r="AY293" s="26" t="s">
        <v>677</v>
      </c>
      <c r="AZ293" s="26" t="s">
        <v>677</v>
      </c>
      <c r="BA293" s="10" t="s">
        <v>57</v>
      </c>
      <c r="BC293" s="24">
        <f>AW293+AX293</f>
        <v>0</v>
      </c>
      <c r="BD293" s="24">
        <f>G293/(100-BE293)*100</f>
        <v>0</v>
      </c>
      <c r="BE293" s="24">
        <v>0</v>
      </c>
      <c r="BF293" s="24">
        <f>293</f>
        <v>293</v>
      </c>
      <c r="BH293" s="24">
        <f>F293*AO293</f>
        <v>0</v>
      </c>
      <c r="BI293" s="24">
        <f>F293*AP293</f>
        <v>0</v>
      </c>
      <c r="BJ293" s="24">
        <f>F293*G293</f>
        <v>0</v>
      </c>
      <c r="BK293" s="26" t="s">
        <v>58</v>
      </c>
      <c r="BL293" s="24"/>
      <c r="BS293" s="24">
        <f>F293*G293</f>
        <v>0</v>
      </c>
      <c r="BW293" s="24">
        <v>21</v>
      </c>
      <c r="BX293" s="4" t="s">
        <v>681</v>
      </c>
    </row>
    <row r="294" spans="1:76" x14ac:dyDescent="0.25">
      <c r="A294" s="35"/>
      <c r="B294" s="36"/>
      <c r="C294" s="37" t="s">
        <v>51</v>
      </c>
      <c r="D294" s="37" t="s">
        <v>682</v>
      </c>
      <c r="E294" s="36"/>
      <c r="F294" s="38">
        <v>1</v>
      </c>
      <c r="G294" s="36"/>
      <c r="H294" s="36"/>
      <c r="I294" s="36"/>
      <c r="J294" s="36"/>
      <c r="K294" s="39"/>
    </row>
    <row r="295" spans="1:76" x14ac:dyDescent="0.25">
      <c r="H295" s="186" t="s">
        <v>683</v>
      </c>
      <c r="I295" s="186"/>
      <c r="J295" s="40">
        <f>ROUND(SUM(J12,J15,J24,J27,J47,J59,J74,J83,J87,J90,J114,J116,J131,J140,J159,J171,J180,J185,J193,J205,J228,J240,J243,J270,J285,J290),2)</f>
        <v>0</v>
      </c>
    </row>
    <row r="296" spans="1:76" x14ac:dyDescent="0.25">
      <c r="A296" s="41" t="s">
        <v>684</v>
      </c>
    </row>
    <row r="297" spans="1:76" ht="12.75" customHeight="1" x14ac:dyDescent="0.25">
      <c r="A297" s="109" t="s">
        <v>48</v>
      </c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</row>
  </sheetData>
  <mergeCells count="200">
    <mergeCell ref="C291:D291"/>
    <mergeCell ref="C293:D293"/>
    <mergeCell ref="H295:I295"/>
    <mergeCell ref="A297:K297"/>
    <mergeCell ref="C285:D285"/>
    <mergeCell ref="C286:D286"/>
    <mergeCell ref="C287:D287"/>
    <mergeCell ref="C288:D288"/>
    <mergeCell ref="C290:D290"/>
    <mergeCell ref="C279:D279"/>
    <mergeCell ref="C280:D280"/>
    <mergeCell ref="C281:D281"/>
    <mergeCell ref="C282:D282"/>
    <mergeCell ref="C284:D284"/>
    <mergeCell ref="C272:D272"/>
    <mergeCell ref="C273:D273"/>
    <mergeCell ref="C275:D275"/>
    <mergeCell ref="C276:D276"/>
    <mergeCell ref="C278:D278"/>
    <mergeCell ref="C267:D267"/>
    <mergeCell ref="C268:D268"/>
    <mergeCell ref="C269:D269"/>
    <mergeCell ref="C270:D270"/>
    <mergeCell ref="C271:D271"/>
    <mergeCell ref="C262:D262"/>
    <mergeCell ref="C263:D263"/>
    <mergeCell ref="C264:D264"/>
    <mergeCell ref="C265:D265"/>
    <mergeCell ref="C266:D266"/>
    <mergeCell ref="C257:D257"/>
    <mergeCell ref="C258:D258"/>
    <mergeCell ref="C259:D259"/>
    <mergeCell ref="C260:D260"/>
    <mergeCell ref="C261:D261"/>
    <mergeCell ref="C250:D250"/>
    <mergeCell ref="C251:D251"/>
    <mergeCell ref="C253:D253"/>
    <mergeCell ref="C255:D255"/>
    <mergeCell ref="C256:D256"/>
    <mergeCell ref="C244:D244"/>
    <mergeCell ref="C246:D246"/>
    <mergeCell ref="C247:D247"/>
    <mergeCell ref="C248:D248"/>
    <mergeCell ref="C249:D249"/>
    <mergeCell ref="C238:D238"/>
    <mergeCell ref="C240:D240"/>
    <mergeCell ref="C241:D241"/>
    <mergeCell ref="C242:D242"/>
    <mergeCell ref="C243:D243"/>
    <mergeCell ref="C228:D228"/>
    <mergeCell ref="C229:D229"/>
    <mergeCell ref="C231:D231"/>
    <mergeCell ref="C233:D233"/>
    <mergeCell ref="C235:D235"/>
    <mergeCell ref="C218:D218"/>
    <mergeCell ref="C220:D220"/>
    <mergeCell ref="C222:D222"/>
    <mergeCell ref="C224:D224"/>
    <mergeCell ref="C226:D226"/>
    <mergeCell ref="C208:D208"/>
    <mergeCell ref="C210:D210"/>
    <mergeCell ref="C212:D212"/>
    <mergeCell ref="C214:D214"/>
    <mergeCell ref="C216:D216"/>
    <mergeCell ref="C200:D200"/>
    <mergeCell ref="C201:D201"/>
    <mergeCell ref="C203:D203"/>
    <mergeCell ref="C205:D205"/>
    <mergeCell ref="C206:D206"/>
    <mergeCell ref="C193:D193"/>
    <mergeCell ref="C194:D194"/>
    <mergeCell ref="C196:D196"/>
    <mergeCell ref="C198:D198"/>
    <mergeCell ref="C199:D199"/>
    <mergeCell ref="C185:D185"/>
    <mergeCell ref="C186:D186"/>
    <mergeCell ref="C188:D188"/>
    <mergeCell ref="C190:D190"/>
    <mergeCell ref="C191:D191"/>
    <mergeCell ref="C176:D176"/>
    <mergeCell ref="C178:D178"/>
    <mergeCell ref="C180:D180"/>
    <mergeCell ref="C181:D181"/>
    <mergeCell ref="C183:D183"/>
    <mergeCell ref="C168:D168"/>
    <mergeCell ref="C169:D169"/>
    <mergeCell ref="C171:D171"/>
    <mergeCell ref="C172:D172"/>
    <mergeCell ref="C174:D174"/>
    <mergeCell ref="C156:D156"/>
    <mergeCell ref="C158:D158"/>
    <mergeCell ref="C159:D159"/>
    <mergeCell ref="C160:D160"/>
    <mergeCell ref="C162:D162"/>
    <mergeCell ref="C143:D143"/>
    <mergeCell ref="C146:D146"/>
    <mergeCell ref="C149:D149"/>
    <mergeCell ref="C151:D151"/>
    <mergeCell ref="C153:D153"/>
    <mergeCell ref="C136:D136"/>
    <mergeCell ref="C137:D137"/>
    <mergeCell ref="C139:D139"/>
    <mergeCell ref="C140:D140"/>
    <mergeCell ref="C141:D141"/>
    <mergeCell ref="C129:D129"/>
    <mergeCell ref="C130:D130"/>
    <mergeCell ref="C131:D131"/>
    <mergeCell ref="C132:D132"/>
    <mergeCell ref="C134:D134"/>
    <mergeCell ref="C117:D117"/>
    <mergeCell ref="C119:D119"/>
    <mergeCell ref="C122:D122"/>
    <mergeCell ref="C124:D124"/>
    <mergeCell ref="C126:D126"/>
    <mergeCell ref="C111:D111"/>
    <mergeCell ref="C113:D113"/>
    <mergeCell ref="C114:D114"/>
    <mergeCell ref="C115:D115"/>
    <mergeCell ref="C116:D116"/>
    <mergeCell ref="C98:D98"/>
    <mergeCell ref="C101:D101"/>
    <mergeCell ref="C103:D103"/>
    <mergeCell ref="C106:D106"/>
    <mergeCell ref="C108:D108"/>
    <mergeCell ref="C88:D88"/>
    <mergeCell ref="C90:D90"/>
    <mergeCell ref="C91:D91"/>
    <mergeCell ref="C93:D93"/>
    <mergeCell ref="C96:D96"/>
    <mergeCell ref="C81:D81"/>
    <mergeCell ref="C83:D83"/>
    <mergeCell ref="C84:D84"/>
    <mergeCell ref="C86:D86"/>
    <mergeCell ref="C87:D87"/>
    <mergeCell ref="C72:D72"/>
    <mergeCell ref="C74:D74"/>
    <mergeCell ref="C75:D75"/>
    <mergeCell ref="C78:D78"/>
    <mergeCell ref="C79:D79"/>
    <mergeCell ref="C62:D62"/>
    <mergeCell ref="C64:D64"/>
    <mergeCell ref="C66:D66"/>
    <mergeCell ref="C68:D68"/>
    <mergeCell ref="C70:D70"/>
    <mergeCell ref="C53:D53"/>
    <mergeCell ref="C55:D55"/>
    <mergeCell ref="C57:D57"/>
    <mergeCell ref="C59:D59"/>
    <mergeCell ref="C60:D60"/>
    <mergeCell ref="C45:D45"/>
    <mergeCell ref="C47:D47"/>
    <mergeCell ref="C48:D48"/>
    <mergeCell ref="C50:D50"/>
    <mergeCell ref="C52:D52"/>
    <mergeCell ref="C34:D34"/>
    <mergeCell ref="C36:D36"/>
    <mergeCell ref="C39:D39"/>
    <mergeCell ref="C42:D42"/>
    <mergeCell ref="C43:D43"/>
    <mergeCell ref="C25:D25"/>
    <mergeCell ref="C27:D27"/>
    <mergeCell ref="C28:D28"/>
    <mergeCell ref="C30:D30"/>
    <mergeCell ref="C32:D32"/>
    <mergeCell ref="C16:D16"/>
    <mergeCell ref="C18:D18"/>
    <mergeCell ref="C20:D20"/>
    <mergeCell ref="C22:D22"/>
    <mergeCell ref="C24:D24"/>
    <mergeCell ref="C11:D11"/>
    <mergeCell ref="H10:J10"/>
    <mergeCell ref="C12:D12"/>
    <mergeCell ref="C13:D13"/>
    <mergeCell ref="C15:D15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37AF-8168-4348-BF61-E5E901101786}">
  <dimension ref="A1:O50"/>
  <sheetViews>
    <sheetView showGridLines="0" showZeros="0" tabSelected="1" zoomScale="95" zoomScaleNormal="95" zoomScaleSheetLayoutView="90" workbookViewId="0">
      <selection activeCell="J7" sqref="J7"/>
    </sheetView>
  </sheetViews>
  <sheetFormatPr defaultColWidth="9.140625" defaultRowHeight="12.75" x14ac:dyDescent="0.2"/>
  <cols>
    <col min="1" max="1" width="8.28515625" style="68" customWidth="1"/>
    <col min="2" max="2" width="10.42578125" style="68" customWidth="1"/>
    <col min="3" max="3" width="6.140625" style="68" customWidth="1"/>
    <col min="4" max="4" width="13.5703125" style="68" customWidth="1"/>
    <col min="5" max="5" width="55.7109375" style="68" customWidth="1"/>
    <col min="6" max="6" width="5.85546875" style="68" customWidth="1"/>
    <col min="7" max="7" width="14.140625" style="68" customWidth="1"/>
    <col min="8" max="8" width="15.7109375" style="68" hidden="1" customWidth="1"/>
    <col min="9" max="9" width="15.7109375" style="68" customWidth="1"/>
    <col min="10" max="10" width="17.7109375" style="68" customWidth="1"/>
    <col min="11" max="12" width="14" style="68" hidden="1" customWidth="1"/>
    <col min="13" max="14" width="15.7109375" style="68" hidden="1" customWidth="1"/>
    <col min="15" max="15" width="17.5703125" style="68" hidden="1" customWidth="1"/>
    <col min="16" max="256" width="9.140625" style="68"/>
    <col min="257" max="257" width="8.28515625" style="68" customWidth="1"/>
    <col min="258" max="258" width="10.42578125" style="68" customWidth="1"/>
    <col min="259" max="259" width="6.140625" style="68" customWidth="1"/>
    <col min="260" max="260" width="13.5703125" style="68" customWidth="1"/>
    <col min="261" max="261" width="55.7109375" style="68" customWidth="1"/>
    <col min="262" max="262" width="5.85546875" style="68" customWidth="1"/>
    <col min="263" max="263" width="14.140625" style="68" customWidth="1"/>
    <col min="264" max="265" width="15.7109375" style="68" customWidth="1"/>
    <col min="266" max="266" width="17.7109375" style="68" customWidth="1"/>
    <col min="267" max="268" width="14" style="68" customWidth="1"/>
    <col min="269" max="270" width="15.7109375" style="68" customWidth="1"/>
    <col min="271" max="271" width="17.5703125" style="68" customWidth="1"/>
    <col min="272" max="512" width="9.140625" style="68"/>
    <col min="513" max="513" width="8.28515625" style="68" customWidth="1"/>
    <col min="514" max="514" width="10.42578125" style="68" customWidth="1"/>
    <col min="515" max="515" width="6.140625" style="68" customWidth="1"/>
    <col min="516" max="516" width="13.5703125" style="68" customWidth="1"/>
    <col min="517" max="517" width="55.7109375" style="68" customWidth="1"/>
    <col min="518" max="518" width="5.85546875" style="68" customWidth="1"/>
    <col min="519" max="519" width="14.140625" style="68" customWidth="1"/>
    <col min="520" max="521" width="15.7109375" style="68" customWidth="1"/>
    <col min="522" max="522" width="17.7109375" style="68" customWidth="1"/>
    <col min="523" max="524" width="14" style="68" customWidth="1"/>
    <col min="525" max="526" width="15.7109375" style="68" customWidth="1"/>
    <col min="527" max="527" width="17.5703125" style="68" customWidth="1"/>
    <col min="528" max="768" width="9.140625" style="68"/>
    <col min="769" max="769" width="8.28515625" style="68" customWidth="1"/>
    <col min="770" max="770" width="10.42578125" style="68" customWidth="1"/>
    <col min="771" max="771" width="6.140625" style="68" customWidth="1"/>
    <col min="772" max="772" width="13.5703125" style="68" customWidth="1"/>
    <col min="773" max="773" width="55.7109375" style="68" customWidth="1"/>
    <col min="774" max="774" width="5.85546875" style="68" customWidth="1"/>
    <col min="775" max="775" width="14.140625" style="68" customWidth="1"/>
    <col min="776" max="777" width="15.7109375" style="68" customWidth="1"/>
    <col min="778" max="778" width="17.7109375" style="68" customWidth="1"/>
    <col min="779" max="780" width="14" style="68" customWidth="1"/>
    <col min="781" max="782" width="15.7109375" style="68" customWidth="1"/>
    <col min="783" max="783" width="17.5703125" style="68" customWidth="1"/>
    <col min="784" max="1024" width="9.140625" style="68"/>
    <col min="1025" max="1025" width="8.28515625" style="68" customWidth="1"/>
    <col min="1026" max="1026" width="10.42578125" style="68" customWidth="1"/>
    <col min="1027" max="1027" width="6.140625" style="68" customWidth="1"/>
    <col min="1028" max="1028" width="13.5703125" style="68" customWidth="1"/>
    <col min="1029" max="1029" width="55.7109375" style="68" customWidth="1"/>
    <col min="1030" max="1030" width="5.85546875" style="68" customWidth="1"/>
    <col min="1031" max="1031" width="14.140625" style="68" customWidth="1"/>
    <col min="1032" max="1033" width="15.7109375" style="68" customWidth="1"/>
    <col min="1034" max="1034" width="17.7109375" style="68" customWidth="1"/>
    <col min="1035" max="1036" width="14" style="68" customWidth="1"/>
    <col min="1037" max="1038" width="15.7109375" style="68" customWidth="1"/>
    <col min="1039" max="1039" width="17.5703125" style="68" customWidth="1"/>
    <col min="1040" max="1280" width="9.140625" style="68"/>
    <col min="1281" max="1281" width="8.28515625" style="68" customWidth="1"/>
    <col min="1282" max="1282" width="10.42578125" style="68" customWidth="1"/>
    <col min="1283" max="1283" width="6.140625" style="68" customWidth="1"/>
    <col min="1284" max="1284" width="13.5703125" style="68" customWidth="1"/>
    <col min="1285" max="1285" width="55.7109375" style="68" customWidth="1"/>
    <col min="1286" max="1286" width="5.85546875" style="68" customWidth="1"/>
    <col min="1287" max="1287" width="14.140625" style="68" customWidth="1"/>
    <col min="1288" max="1289" width="15.7109375" style="68" customWidth="1"/>
    <col min="1290" max="1290" width="17.7109375" style="68" customWidth="1"/>
    <col min="1291" max="1292" width="14" style="68" customWidth="1"/>
    <col min="1293" max="1294" width="15.7109375" style="68" customWidth="1"/>
    <col min="1295" max="1295" width="17.5703125" style="68" customWidth="1"/>
    <col min="1296" max="1536" width="9.140625" style="68"/>
    <col min="1537" max="1537" width="8.28515625" style="68" customWidth="1"/>
    <col min="1538" max="1538" width="10.42578125" style="68" customWidth="1"/>
    <col min="1539" max="1539" width="6.140625" style="68" customWidth="1"/>
    <col min="1540" max="1540" width="13.5703125" style="68" customWidth="1"/>
    <col min="1541" max="1541" width="55.7109375" style="68" customWidth="1"/>
    <col min="1542" max="1542" width="5.85546875" style="68" customWidth="1"/>
    <col min="1543" max="1543" width="14.140625" style="68" customWidth="1"/>
    <col min="1544" max="1545" width="15.7109375" style="68" customWidth="1"/>
    <col min="1546" max="1546" width="17.7109375" style="68" customWidth="1"/>
    <col min="1547" max="1548" width="14" style="68" customWidth="1"/>
    <col min="1549" max="1550" width="15.7109375" style="68" customWidth="1"/>
    <col min="1551" max="1551" width="17.5703125" style="68" customWidth="1"/>
    <col min="1552" max="1792" width="9.140625" style="68"/>
    <col min="1793" max="1793" width="8.28515625" style="68" customWidth="1"/>
    <col min="1794" max="1794" width="10.42578125" style="68" customWidth="1"/>
    <col min="1795" max="1795" width="6.140625" style="68" customWidth="1"/>
    <col min="1796" max="1796" width="13.5703125" style="68" customWidth="1"/>
    <col min="1797" max="1797" width="55.7109375" style="68" customWidth="1"/>
    <col min="1798" max="1798" width="5.85546875" style="68" customWidth="1"/>
    <col min="1799" max="1799" width="14.140625" style="68" customWidth="1"/>
    <col min="1800" max="1801" width="15.7109375" style="68" customWidth="1"/>
    <col min="1802" max="1802" width="17.7109375" style="68" customWidth="1"/>
    <col min="1803" max="1804" width="14" style="68" customWidth="1"/>
    <col min="1805" max="1806" width="15.7109375" style="68" customWidth="1"/>
    <col min="1807" max="1807" width="17.5703125" style="68" customWidth="1"/>
    <col min="1808" max="2048" width="9.140625" style="68"/>
    <col min="2049" max="2049" width="8.28515625" style="68" customWidth="1"/>
    <col min="2050" max="2050" width="10.42578125" style="68" customWidth="1"/>
    <col min="2051" max="2051" width="6.140625" style="68" customWidth="1"/>
    <col min="2052" max="2052" width="13.5703125" style="68" customWidth="1"/>
    <col min="2053" max="2053" width="55.7109375" style="68" customWidth="1"/>
    <col min="2054" max="2054" width="5.85546875" style="68" customWidth="1"/>
    <col min="2055" max="2055" width="14.140625" style="68" customWidth="1"/>
    <col min="2056" max="2057" width="15.7109375" style="68" customWidth="1"/>
    <col min="2058" max="2058" width="17.7109375" style="68" customWidth="1"/>
    <col min="2059" max="2060" width="14" style="68" customWidth="1"/>
    <col min="2061" max="2062" width="15.7109375" style="68" customWidth="1"/>
    <col min="2063" max="2063" width="17.5703125" style="68" customWidth="1"/>
    <col min="2064" max="2304" width="9.140625" style="68"/>
    <col min="2305" max="2305" width="8.28515625" style="68" customWidth="1"/>
    <col min="2306" max="2306" width="10.42578125" style="68" customWidth="1"/>
    <col min="2307" max="2307" width="6.140625" style="68" customWidth="1"/>
    <col min="2308" max="2308" width="13.5703125" style="68" customWidth="1"/>
    <col min="2309" max="2309" width="55.7109375" style="68" customWidth="1"/>
    <col min="2310" max="2310" width="5.85546875" style="68" customWidth="1"/>
    <col min="2311" max="2311" width="14.140625" style="68" customWidth="1"/>
    <col min="2312" max="2313" width="15.7109375" style="68" customWidth="1"/>
    <col min="2314" max="2314" width="17.7109375" style="68" customWidth="1"/>
    <col min="2315" max="2316" width="14" style="68" customWidth="1"/>
    <col min="2317" max="2318" width="15.7109375" style="68" customWidth="1"/>
    <col min="2319" max="2319" width="17.5703125" style="68" customWidth="1"/>
    <col min="2320" max="2560" width="9.140625" style="68"/>
    <col min="2561" max="2561" width="8.28515625" style="68" customWidth="1"/>
    <col min="2562" max="2562" width="10.42578125" style="68" customWidth="1"/>
    <col min="2563" max="2563" width="6.140625" style="68" customWidth="1"/>
    <col min="2564" max="2564" width="13.5703125" style="68" customWidth="1"/>
    <col min="2565" max="2565" width="55.7109375" style="68" customWidth="1"/>
    <col min="2566" max="2566" width="5.85546875" style="68" customWidth="1"/>
    <col min="2567" max="2567" width="14.140625" style="68" customWidth="1"/>
    <col min="2568" max="2569" width="15.7109375" style="68" customWidth="1"/>
    <col min="2570" max="2570" width="17.7109375" style="68" customWidth="1"/>
    <col min="2571" max="2572" width="14" style="68" customWidth="1"/>
    <col min="2573" max="2574" width="15.7109375" style="68" customWidth="1"/>
    <col min="2575" max="2575" width="17.5703125" style="68" customWidth="1"/>
    <col min="2576" max="2816" width="9.140625" style="68"/>
    <col min="2817" max="2817" width="8.28515625" style="68" customWidth="1"/>
    <col min="2818" max="2818" width="10.42578125" style="68" customWidth="1"/>
    <col min="2819" max="2819" width="6.140625" style="68" customWidth="1"/>
    <col min="2820" max="2820" width="13.5703125" style="68" customWidth="1"/>
    <col min="2821" max="2821" width="55.7109375" style="68" customWidth="1"/>
    <col min="2822" max="2822" width="5.85546875" style="68" customWidth="1"/>
    <col min="2823" max="2823" width="14.140625" style="68" customWidth="1"/>
    <col min="2824" max="2825" width="15.7109375" style="68" customWidth="1"/>
    <col min="2826" max="2826" width="17.7109375" style="68" customWidth="1"/>
    <col min="2827" max="2828" width="14" style="68" customWidth="1"/>
    <col min="2829" max="2830" width="15.7109375" style="68" customWidth="1"/>
    <col min="2831" max="2831" width="17.5703125" style="68" customWidth="1"/>
    <col min="2832" max="3072" width="9.140625" style="68"/>
    <col min="3073" max="3073" width="8.28515625" style="68" customWidth="1"/>
    <col min="3074" max="3074" width="10.42578125" style="68" customWidth="1"/>
    <col min="3075" max="3075" width="6.140625" style="68" customWidth="1"/>
    <col min="3076" max="3076" width="13.5703125" style="68" customWidth="1"/>
    <col min="3077" max="3077" width="55.7109375" style="68" customWidth="1"/>
    <col min="3078" max="3078" width="5.85546875" style="68" customWidth="1"/>
    <col min="3079" max="3079" width="14.140625" style="68" customWidth="1"/>
    <col min="3080" max="3081" width="15.7109375" style="68" customWidth="1"/>
    <col min="3082" max="3082" width="17.7109375" style="68" customWidth="1"/>
    <col min="3083" max="3084" width="14" style="68" customWidth="1"/>
    <col min="3085" max="3086" width="15.7109375" style="68" customWidth="1"/>
    <col min="3087" max="3087" width="17.5703125" style="68" customWidth="1"/>
    <col min="3088" max="3328" width="9.140625" style="68"/>
    <col min="3329" max="3329" width="8.28515625" style="68" customWidth="1"/>
    <col min="3330" max="3330" width="10.42578125" style="68" customWidth="1"/>
    <col min="3331" max="3331" width="6.140625" style="68" customWidth="1"/>
    <col min="3332" max="3332" width="13.5703125" style="68" customWidth="1"/>
    <col min="3333" max="3333" width="55.7109375" style="68" customWidth="1"/>
    <col min="3334" max="3334" width="5.85546875" style="68" customWidth="1"/>
    <col min="3335" max="3335" width="14.140625" style="68" customWidth="1"/>
    <col min="3336" max="3337" width="15.7109375" style="68" customWidth="1"/>
    <col min="3338" max="3338" width="17.7109375" style="68" customWidth="1"/>
    <col min="3339" max="3340" width="14" style="68" customWidth="1"/>
    <col min="3341" max="3342" width="15.7109375" style="68" customWidth="1"/>
    <col min="3343" max="3343" width="17.5703125" style="68" customWidth="1"/>
    <col min="3344" max="3584" width="9.140625" style="68"/>
    <col min="3585" max="3585" width="8.28515625" style="68" customWidth="1"/>
    <col min="3586" max="3586" width="10.42578125" style="68" customWidth="1"/>
    <col min="3587" max="3587" width="6.140625" style="68" customWidth="1"/>
    <col min="3588" max="3588" width="13.5703125" style="68" customWidth="1"/>
    <col min="3589" max="3589" width="55.7109375" style="68" customWidth="1"/>
    <col min="3590" max="3590" width="5.85546875" style="68" customWidth="1"/>
    <col min="3591" max="3591" width="14.140625" style="68" customWidth="1"/>
    <col min="3592" max="3593" width="15.7109375" style="68" customWidth="1"/>
    <col min="3594" max="3594" width="17.7109375" style="68" customWidth="1"/>
    <col min="3595" max="3596" width="14" style="68" customWidth="1"/>
    <col min="3597" max="3598" width="15.7109375" style="68" customWidth="1"/>
    <col min="3599" max="3599" width="17.5703125" style="68" customWidth="1"/>
    <col min="3600" max="3840" width="9.140625" style="68"/>
    <col min="3841" max="3841" width="8.28515625" style="68" customWidth="1"/>
    <col min="3842" max="3842" width="10.42578125" style="68" customWidth="1"/>
    <col min="3843" max="3843" width="6.140625" style="68" customWidth="1"/>
    <col min="3844" max="3844" width="13.5703125" style="68" customWidth="1"/>
    <col min="3845" max="3845" width="55.7109375" style="68" customWidth="1"/>
    <col min="3846" max="3846" width="5.85546875" style="68" customWidth="1"/>
    <col min="3847" max="3847" width="14.140625" style="68" customWidth="1"/>
    <col min="3848" max="3849" width="15.7109375" style="68" customWidth="1"/>
    <col min="3850" max="3850" width="17.7109375" style="68" customWidth="1"/>
    <col min="3851" max="3852" width="14" style="68" customWidth="1"/>
    <col min="3853" max="3854" width="15.7109375" style="68" customWidth="1"/>
    <col min="3855" max="3855" width="17.5703125" style="68" customWidth="1"/>
    <col min="3856" max="4096" width="9.140625" style="68"/>
    <col min="4097" max="4097" width="8.28515625" style="68" customWidth="1"/>
    <col min="4098" max="4098" width="10.42578125" style="68" customWidth="1"/>
    <col min="4099" max="4099" width="6.140625" style="68" customWidth="1"/>
    <col min="4100" max="4100" width="13.5703125" style="68" customWidth="1"/>
    <col min="4101" max="4101" width="55.7109375" style="68" customWidth="1"/>
    <col min="4102" max="4102" width="5.85546875" style="68" customWidth="1"/>
    <col min="4103" max="4103" width="14.140625" style="68" customWidth="1"/>
    <col min="4104" max="4105" width="15.7109375" style="68" customWidth="1"/>
    <col min="4106" max="4106" width="17.7109375" style="68" customWidth="1"/>
    <col min="4107" max="4108" width="14" style="68" customWidth="1"/>
    <col min="4109" max="4110" width="15.7109375" style="68" customWidth="1"/>
    <col min="4111" max="4111" width="17.5703125" style="68" customWidth="1"/>
    <col min="4112" max="4352" width="9.140625" style="68"/>
    <col min="4353" max="4353" width="8.28515625" style="68" customWidth="1"/>
    <col min="4354" max="4354" width="10.42578125" style="68" customWidth="1"/>
    <col min="4355" max="4355" width="6.140625" style="68" customWidth="1"/>
    <col min="4356" max="4356" width="13.5703125" style="68" customWidth="1"/>
    <col min="4357" max="4357" width="55.7109375" style="68" customWidth="1"/>
    <col min="4358" max="4358" width="5.85546875" style="68" customWidth="1"/>
    <col min="4359" max="4359" width="14.140625" style="68" customWidth="1"/>
    <col min="4360" max="4361" width="15.7109375" style="68" customWidth="1"/>
    <col min="4362" max="4362" width="17.7109375" style="68" customWidth="1"/>
    <col min="4363" max="4364" width="14" style="68" customWidth="1"/>
    <col min="4365" max="4366" width="15.7109375" style="68" customWidth="1"/>
    <col min="4367" max="4367" width="17.5703125" style="68" customWidth="1"/>
    <col min="4368" max="4608" width="9.140625" style="68"/>
    <col min="4609" max="4609" width="8.28515625" style="68" customWidth="1"/>
    <col min="4610" max="4610" width="10.42578125" style="68" customWidth="1"/>
    <col min="4611" max="4611" width="6.140625" style="68" customWidth="1"/>
    <col min="4612" max="4612" width="13.5703125" style="68" customWidth="1"/>
    <col min="4613" max="4613" width="55.7109375" style="68" customWidth="1"/>
    <col min="4614" max="4614" width="5.85546875" style="68" customWidth="1"/>
    <col min="4615" max="4615" width="14.140625" style="68" customWidth="1"/>
    <col min="4616" max="4617" width="15.7109375" style="68" customWidth="1"/>
    <col min="4618" max="4618" width="17.7109375" style="68" customWidth="1"/>
    <col min="4619" max="4620" width="14" style="68" customWidth="1"/>
    <col min="4621" max="4622" width="15.7109375" style="68" customWidth="1"/>
    <col min="4623" max="4623" width="17.5703125" style="68" customWidth="1"/>
    <col min="4624" max="4864" width="9.140625" style="68"/>
    <col min="4865" max="4865" width="8.28515625" style="68" customWidth="1"/>
    <col min="4866" max="4866" width="10.42578125" style="68" customWidth="1"/>
    <col min="4867" max="4867" width="6.140625" style="68" customWidth="1"/>
    <col min="4868" max="4868" width="13.5703125" style="68" customWidth="1"/>
    <col min="4869" max="4869" width="55.7109375" style="68" customWidth="1"/>
    <col min="4870" max="4870" width="5.85546875" style="68" customWidth="1"/>
    <col min="4871" max="4871" width="14.140625" style="68" customWidth="1"/>
    <col min="4872" max="4873" width="15.7109375" style="68" customWidth="1"/>
    <col min="4874" max="4874" width="17.7109375" style="68" customWidth="1"/>
    <col min="4875" max="4876" width="14" style="68" customWidth="1"/>
    <col min="4877" max="4878" width="15.7109375" style="68" customWidth="1"/>
    <col min="4879" max="4879" width="17.5703125" style="68" customWidth="1"/>
    <col min="4880" max="5120" width="9.140625" style="68"/>
    <col min="5121" max="5121" width="8.28515625" style="68" customWidth="1"/>
    <col min="5122" max="5122" width="10.42578125" style="68" customWidth="1"/>
    <col min="5123" max="5123" width="6.140625" style="68" customWidth="1"/>
    <col min="5124" max="5124" width="13.5703125" style="68" customWidth="1"/>
    <col min="5125" max="5125" width="55.7109375" style="68" customWidth="1"/>
    <col min="5126" max="5126" width="5.85546875" style="68" customWidth="1"/>
    <col min="5127" max="5127" width="14.140625" style="68" customWidth="1"/>
    <col min="5128" max="5129" width="15.7109375" style="68" customWidth="1"/>
    <col min="5130" max="5130" width="17.7109375" style="68" customWidth="1"/>
    <col min="5131" max="5132" width="14" style="68" customWidth="1"/>
    <col min="5133" max="5134" width="15.7109375" style="68" customWidth="1"/>
    <col min="5135" max="5135" width="17.5703125" style="68" customWidth="1"/>
    <col min="5136" max="5376" width="9.140625" style="68"/>
    <col min="5377" max="5377" width="8.28515625" style="68" customWidth="1"/>
    <col min="5378" max="5378" width="10.42578125" style="68" customWidth="1"/>
    <col min="5379" max="5379" width="6.140625" style="68" customWidth="1"/>
    <col min="5380" max="5380" width="13.5703125" style="68" customWidth="1"/>
    <col min="5381" max="5381" width="55.7109375" style="68" customWidth="1"/>
    <col min="5382" max="5382" width="5.85546875" style="68" customWidth="1"/>
    <col min="5383" max="5383" width="14.140625" style="68" customWidth="1"/>
    <col min="5384" max="5385" width="15.7109375" style="68" customWidth="1"/>
    <col min="5386" max="5386" width="17.7109375" style="68" customWidth="1"/>
    <col min="5387" max="5388" width="14" style="68" customWidth="1"/>
    <col min="5389" max="5390" width="15.7109375" style="68" customWidth="1"/>
    <col min="5391" max="5391" width="17.5703125" style="68" customWidth="1"/>
    <col min="5392" max="5632" width="9.140625" style="68"/>
    <col min="5633" max="5633" width="8.28515625" style="68" customWidth="1"/>
    <col min="5634" max="5634" width="10.42578125" style="68" customWidth="1"/>
    <col min="5635" max="5635" width="6.140625" style="68" customWidth="1"/>
    <col min="5636" max="5636" width="13.5703125" style="68" customWidth="1"/>
    <col min="5637" max="5637" width="55.7109375" style="68" customWidth="1"/>
    <col min="5638" max="5638" width="5.85546875" style="68" customWidth="1"/>
    <col min="5639" max="5639" width="14.140625" style="68" customWidth="1"/>
    <col min="5640" max="5641" width="15.7109375" style="68" customWidth="1"/>
    <col min="5642" max="5642" width="17.7109375" style="68" customWidth="1"/>
    <col min="5643" max="5644" width="14" style="68" customWidth="1"/>
    <col min="5645" max="5646" width="15.7109375" style="68" customWidth="1"/>
    <col min="5647" max="5647" width="17.5703125" style="68" customWidth="1"/>
    <col min="5648" max="5888" width="9.140625" style="68"/>
    <col min="5889" max="5889" width="8.28515625" style="68" customWidth="1"/>
    <col min="5890" max="5890" width="10.42578125" style="68" customWidth="1"/>
    <col min="5891" max="5891" width="6.140625" style="68" customWidth="1"/>
    <col min="5892" max="5892" width="13.5703125" style="68" customWidth="1"/>
    <col min="5893" max="5893" width="55.7109375" style="68" customWidth="1"/>
    <col min="5894" max="5894" width="5.85546875" style="68" customWidth="1"/>
    <col min="5895" max="5895" width="14.140625" style="68" customWidth="1"/>
    <col min="5896" max="5897" width="15.7109375" style="68" customWidth="1"/>
    <col min="5898" max="5898" width="17.7109375" style="68" customWidth="1"/>
    <col min="5899" max="5900" width="14" style="68" customWidth="1"/>
    <col min="5901" max="5902" width="15.7109375" style="68" customWidth="1"/>
    <col min="5903" max="5903" width="17.5703125" style="68" customWidth="1"/>
    <col min="5904" max="6144" width="9.140625" style="68"/>
    <col min="6145" max="6145" width="8.28515625" style="68" customWidth="1"/>
    <col min="6146" max="6146" width="10.42578125" style="68" customWidth="1"/>
    <col min="6147" max="6147" width="6.140625" style="68" customWidth="1"/>
    <col min="6148" max="6148" width="13.5703125" style="68" customWidth="1"/>
    <col min="6149" max="6149" width="55.7109375" style="68" customWidth="1"/>
    <col min="6150" max="6150" width="5.85546875" style="68" customWidth="1"/>
    <col min="6151" max="6151" width="14.140625" style="68" customWidth="1"/>
    <col min="6152" max="6153" width="15.7109375" style="68" customWidth="1"/>
    <col min="6154" max="6154" width="17.7109375" style="68" customWidth="1"/>
    <col min="6155" max="6156" width="14" style="68" customWidth="1"/>
    <col min="6157" max="6158" width="15.7109375" style="68" customWidth="1"/>
    <col min="6159" max="6159" width="17.5703125" style="68" customWidth="1"/>
    <col min="6160" max="6400" width="9.140625" style="68"/>
    <col min="6401" max="6401" width="8.28515625" style="68" customWidth="1"/>
    <col min="6402" max="6402" width="10.42578125" style="68" customWidth="1"/>
    <col min="6403" max="6403" width="6.140625" style="68" customWidth="1"/>
    <col min="6404" max="6404" width="13.5703125" style="68" customWidth="1"/>
    <col min="6405" max="6405" width="55.7109375" style="68" customWidth="1"/>
    <col min="6406" max="6406" width="5.85546875" style="68" customWidth="1"/>
    <col min="6407" max="6407" width="14.140625" style="68" customWidth="1"/>
    <col min="6408" max="6409" width="15.7109375" style="68" customWidth="1"/>
    <col min="6410" max="6410" width="17.7109375" style="68" customWidth="1"/>
    <col min="6411" max="6412" width="14" style="68" customWidth="1"/>
    <col min="6413" max="6414" width="15.7109375" style="68" customWidth="1"/>
    <col min="6415" max="6415" width="17.5703125" style="68" customWidth="1"/>
    <col min="6416" max="6656" width="9.140625" style="68"/>
    <col min="6657" max="6657" width="8.28515625" style="68" customWidth="1"/>
    <col min="6658" max="6658" width="10.42578125" style="68" customWidth="1"/>
    <col min="6659" max="6659" width="6.140625" style="68" customWidth="1"/>
    <col min="6660" max="6660" width="13.5703125" style="68" customWidth="1"/>
    <col min="6661" max="6661" width="55.7109375" style="68" customWidth="1"/>
    <col min="6662" max="6662" width="5.85546875" style="68" customWidth="1"/>
    <col min="6663" max="6663" width="14.140625" style="68" customWidth="1"/>
    <col min="6664" max="6665" width="15.7109375" style="68" customWidth="1"/>
    <col min="6666" max="6666" width="17.7109375" style="68" customWidth="1"/>
    <col min="6667" max="6668" width="14" style="68" customWidth="1"/>
    <col min="6669" max="6670" width="15.7109375" style="68" customWidth="1"/>
    <col min="6671" max="6671" width="17.5703125" style="68" customWidth="1"/>
    <col min="6672" max="6912" width="9.140625" style="68"/>
    <col min="6913" max="6913" width="8.28515625" style="68" customWidth="1"/>
    <col min="6914" max="6914" width="10.42578125" style="68" customWidth="1"/>
    <col min="6915" max="6915" width="6.140625" style="68" customWidth="1"/>
    <col min="6916" max="6916" width="13.5703125" style="68" customWidth="1"/>
    <col min="6917" max="6917" width="55.7109375" style="68" customWidth="1"/>
    <col min="6918" max="6918" width="5.85546875" style="68" customWidth="1"/>
    <col min="6919" max="6919" width="14.140625" style="68" customWidth="1"/>
    <col min="6920" max="6921" width="15.7109375" style="68" customWidth="1"/>
    <col min="6922" max="6922" width="17.7109375" style="68" customWidth="1"/>
    <col min="6923" max="6924" width="14" style="68" customWidth="1"/>
    <col min="6925" max="6926" width="15.7109375" style="68" customWidth="1"/>
    <col min="6927" max="6927" width="17.5703125" style="68" customWidth="1"/>
    <col min="6928" max="7168" width="9.140625" style="68"/>
    <col min="7169" max="7169" width="8.28515625" style="68" customWidth="1"/>
    <col min="7170" max="7170" width="10.42578125" style="68" customWidth="1"/>
    <col min="7171" max="7171" width="6.140625" style="68" customWidth="1"/>
    <col min="7172" max="7172" width="13.5703125" style="68" customWidth="1"/>
    <col min="7173" max="7173" width="55.7109375" style="68" customWidth="1"/>
    <col min="7174" max="7174" width="5.85546875" style="68" customWidth="1"/>
    <col min="7175" max="7175" width="14.140625" style="68" customWidth="1"/>
    <col min="7176" max="7177" width="15.7109375" style="68" customWidth="1"/>
    <col min="7178" max="7178" width="17.7109375" style="68" customWidth="1"/>
    <col min="7179" max="7180" width="14" style="68" customWidth="1"/>
    <col min="7181" max="7182" width="15.7109375" style="68" customWidth="1"/>
    <col min="7183" max="7183" width="17.5703125" style="68" customWidth="1"/>
    <col min="7184" max="7424" width="9.140625" style="68"/>
    <col min="7425" max="7425" width="8.28515625" style="68" customWidth="1"/>
    <col min="7426" max="7426" width="10.42578125" style="68" customWidth="1"/>
    <col min="7427" max="7427" width="6.140625" style="68" customWidth="1"/>
    <col min="7428" max="7428" width="13.5703125" style="68" customWidth="1"/>
    <col min="7429" max="7429" width="55.7109375" style="68" customWidth="1"/>
    <col min="7430" max="7430" width="5.85546875" style="68" customWidth="1"/>
    <col min="7431" max="7431" width="14.140625" style="68" customWidth="1"/>
    <col min="7432" max="7433" width="15.7109375" style="68" customWidth="1"/>
    <col min="7434" max="7434" width="17.7109375" style="68" customWidth="1"/>
    <col min="7435" max="7436" width="14" style="68" customWidth="1"/>
    <col min="7437" max="7438" width="15.7109375" style="68" customWidth="1"/>
    <col min="7439" max="7439" width="17.5703125" style="68" customWidth="1"/>
    <col min="7440" max="7680" width="9.140625" style="68"/>
    <col min="7681" max="7681" width="8.28515625" style="68" customWidth="1"/>
    <col min="7682" max="7682" width="10.42578125" style="68" customWidth="1"/>
    <col min="7683" max="7683" width="6.140625" style="68" customWidth="1"/>
    <col min="7684" max="7684" width="13.5703125" style="68" customWidth="1"/>
    <col min="7685" max="7685" width="55.7109375" style="68" customWidth="1"/>
    <col min="7686" max="7686" width="5.85546875" style="68" customWidth="1"/>
    <col min="7687" max="7687" width="14.140625" style="68" customWidth="1"/>
    <col min="7688" max="7689" width="15.7109375" style="68" customWidth="1"/>
    <col min="7690" max="7690" width="17.7109375" style="68" customWidth="1"/>
    <col min="7691" max="7692" width="14" style="68" customWidth="1"/>
    <col min="7693" max="7694" width="15.7109375" style="68" customWidth="1"/>
    <col min="7695" max="7695" width="17.5703125" style="68" customWidth="1"/>
    <col min="7696" max="7936" width="9.140625" style="68"/>
    <col min="7937" max="7937" width="8.28515625" style="68" customWidth="1"/>
    <col min="7938" max="7938" width="10.42578125" style="68" customWidth="1"/>
    <col min="7939" max="7939" width="6.140625" style="68" customWidth="1"/>
    <col min="7940" max="7940" width="13.5703125" style="68" customWidth="1"/>
    <col min="7941" max="7941" width="55.7109375" style="68" customWidth="1"/>
    <col min="7942" max="7942" width="5.85546875" style="68" customWidth="1"/>
    <col min="7943" max="7943" width="14.140625" style="68" customWidth="1"/>
    <col min="7944" max="7945" width="15.7109375" style="68" customWidth="1"/>
    <col min="7946" max="7946" width="17.7109375" style="68" customWidth="1"/>
    <col min="7947" max="7948" width="14" style="68" customWidth="1"/>
    <col min="7949" max="7950" width="15.7109375" style="68" customWidth="1"/>
    <col min="7951" max="7951" width="17.5703125" style="68" customWidth="1"/>
    <col min="7952" max="8192" width="9.140625" style="68"/>
    <col min="8193" max="8193" width="8.28515625" style="68" customWidth="1"/>
    <col min="8194" max="8194" width="10.42578125" style="68" customWidth="1"/>
    <col min="8195" max="8195" width="6.140625" style="68" customWidth="1"/>
    <col min="8196" max="8196" width="13.5703125" style="68" customWidth="1"/>
    <col min="8197" max="8197" width="55.7109375" style="68" customWidth="1"/>
    <col min="8198" max="8198" width="5.85546875" style="68" customWidth="1"/>
    <col min="8199" max="8199" width="14.140625" style="68" customWidth="1"/>
    <col min="8200" max="8201" width="15.7109375" style="68" customWidth="1"/>
    <col min="8202" max="8202" width="17.7109375" style="68" customWidth="1"/>
    <col min="8203" max="8204" width="14" style="68" customWidth="1"/>
    <col min="8205" max="8206" width="15.7109375" style="68" customWidth="1"/>
    <col min="8207" max="8207" width="17.5703125" style="68" customWidth="1"/>
    <col min="8208" max="8448" width="9.140625" style="68"/>
    <col min="8449" max="8449" width="8.28515625" style="68" customWidth="1"/>
    <col min="8450" max="8450" width="10.42578125" style="68" customWidth="1"/>
    <col min="8451" max="8451" width="6.140625" style="68" customWidth="1"/>
    <col min="8452" max="8452" width="13.5703125" style="68" customWidth="1"/>
    <col min="8453" max="8453" width="55.7109375" style="68" customWidth="1"/>
    <col min="8454" max="8454" width="5.85546875" style="68" customWidth="1"/>
    <col min="8455" max="8455" width="14.140625" style="68" customWidth="1"/>
    <col min="8456" max="8457" width="15.7109375" style="68" customWidth="1"/>
    <col min="8458" max="8458" width="17.7109375" style="68" customWidth="1"/>
    <col min="8459" max="8460" width="14" style="68" customWidth="1"/>
    <col min="8461" max="8462" width="15.7109375" style="68" customWidth="1"/>
    <col min="8463" max="8463" width="17.5703125" style="68" customWidth="1"/>
    <col min="8464" max="8704" width="9.140625" style="68"/>
    <col min="8705" max="8705" width="8.28515625" style="68" customWidth="1"/>
    <col min="8706" max="8706" width="10.42578125" style="68" customWidth="1"/>
    <col min="8707" max="8707" width="6.140625" style="68" customWidth="1"/>
    <col min="8708" max="8708" width="13.5703125" style="68" customWidth="1"/>
    <col min="8709" max="8709" width="55.7109375" style="68" customWidth="1"/>
    <col min="8710" max="8710" width="5.85546875" style="68" customWidth="1"/>
    <col min="8711" max="8711" width="14.140625" style="68" customWidth="1"/>
    <col min="8712" max="8713" width="15.7109375" style="68" customWidth="1"/>
    <col min="8714" max="8714" width="17.7109375" style="68" customWidth="1"/>
    <col min="8715" max="8716" width="14" style="68" customWidth="1"/>
    <col min="8717" max="8718" width="15.7109375" style="68" customWidth="1"/>
    <col min="8719" max="8719" width="17.5703125" style="68" customWidth="1"/>
    <col min="8720" max="8960" width="9.140625" style="68"/>
    <col min="8961" max="8961" width="8.28515625" style="68" customWidth="1"/>
    <col min="8962" max="8962" width="10.42578125" style="68" customWidth="1"/>
    <col min="8963" max="8963" width="6.140625" style="68" customWidth="1"/>
    <col min="8964" max="8964" width="13.5703125" style="68" customWidth="1"/>
    <col min="8965" max="8965" width="55.7109375" style="68" customWidth="1"/>
    <col min="8966" max="8966" width="5.85546875" style="68" customWidth="1"/>
    <col min="8967" max="8967" width="14.140625" style="68" customWidth="1"/>
    <col min="8968" max="8969" width="15.7109375" style="68" customWidth="1"/>
    <col min="8970" max="8970" width="17.7109375" style="68" customWidth="1"/>
    <col min="8971" max="8972" width="14" style="68" customWidth="1"/>
    <col min="8973" max="8974" width="15.7109375" style="68" customWidth="1"/>
    <col min="8975" max="8975" width="17.5703125" style="68" customWidth="1"/>
    <col min="8976" max="9216" width="9.140625" style="68"/>
    <col min="9217" max="9217" width="8.28515625" style="68" customWidth="1"/>
    <col min="9218" max="9218" width="10.42578125" style="68" customWidth="1"/>
    <col min="9219" max="9219" width="6.140625" style="68" customWidth="1"/>
    <col min="9220" max="9220" width="13.5703125" style="68" customWidth="1"/>
    <col min="9221" max="9221" width="55.7109375" style="68" customWidth="1"/>
    <col min="9222" max="9222" width="5.85546875" style="68" customWidth="1"/>
    <col min="9223" max="9223" width="14.140625" style="68" customWidth="1"/>
    <col min="9224" max="9225" width="15.7109375" style="68" customWidth="1"/>
    <col min="9226" max="9226" width="17.7109375" style="68" customWidth="1"/>
    <col min="9227" max="9228" width="14" style="68" customWidth="1"/>
    <col min="9229" max="9230" width="15.7109375" style="68" customWidth="1"/>
    <col min="9231" max="9231" width="17.5703125" style="68" customWidth="1"/>
    <col min="9232" max="9472" width="9.140625" style="68"/>
    <col min="9473" max="9473" width="8.28515625" style="68" customWidth="1"/>
    <col min="9474" max="9474" width="10.42578125" style="68" customWidth="1"/>
    <col min="9475" max="9475" width="6.140625" style="68" customWidth="1"/>
    <col min="9476" max="9476" width="13.5703125" style="68" customWidth="1"/>
    <col min="9477" max="9477" width="55.7109375" style="68" customWidth="1"/>
    <col min="9478" max="9478" width="5.85546875" style="68" customWidth="1"/>
    <col min="9479" max="9479" width="14.140625" style="68" customWidth="1"/>
    <col min="9480" max="9481" width="15.7109375" style="68" customWidth="1"/>
    <col min="9482" max="9482" width="17.7109375" style="68" customWidth="1"/>
    <col min="9483" max="9484" width="14" style="68" customWidth="1"/>
    <col min="9485" max="9486" width="15.7109375" style="68" customWidth="1"/>
    <col min="9487" max="9487" width="17.5703125" style="68" customWidth="1"/>
    <col min="9488" max="9728" width="9.140625" style="68"/>
    <col min="9729" max="9729" width="8.28515625" style="68" customWidth="1"/>
    <col min="9730" max="9730" width="10.42578125" style="68" customWidth="1"/>
    <col min="9731" max="9731" width="6.140625" style="68" customWidth="1"/>
    <col min="9732" max="9732" width="13.5703125" style="68" customWidth="1"/>
    <col min="9733" max="9733" width="55.7109375" style="68" customWidth="1"/>
    <col min="9734" max="9734" width="5.85546875" style="68" customWidth="1"/>
    <col min="9735" max="9735" width="14.140625" style="68" customWidth="1"/>
    <col min="9736" max="9737" width="15.7109375" style="68" customWidth="1"/>
    <col min="9738" max="9738" width="17.7109375" style="68" customWidth="1"/>
    <col min="9739" max="9740" width="14" style="68" customWidth="1"/>
    <col min="9741" max="9742" width="15.7109375" style="68" customWidth="1"/>
    <col min="9743" max="9743" width="17.5703125" style="68" customWidth="1"/>
    <col min="9744" max="9984" width="9.140625" style="68"/>
    <col min="9985" max="9985" width="8.28515625" style="68" customWidth="1"/>
    <col min="9986" max="9986" width="10.42578125" style="68" customWidth="1"/>
    <col min="9987" max="9987" width="6.140625" style="68" customWidth="1"/>
    <col min="9988" max="9988" width="13.5703125" style="68" customWidth="1"/>
    <col min="9989" max="9989" width="55.7109375" style="68" customWidth="1"/>
    <col min="9990" max="9990" width="5.85546875" style="68" customWidth="1"/>
    <col min="9991" max="9991" width="14.140625" style="68" customWidth="1"/>
    <col min="9992" max="9993" width="15.7109375" style="68" customWidth="1"/>
    <col min="9994" max="9994" width="17.7109375" style="68" customWidth="1"/>
    <col min="9995" max="9996" width="14" style="68" customWidth="1"/>
    <col min="9997" max="9998" width="15.7109375" style="68" customWidth="1"/>
    <col min="9999" max="9999" width="17.5703125" style="68" customWidth="1"/>
    <col min="10000" max="10240" width="9.140625" style="68"/>
    <col min="10241" max="10241" width="8.28515625" style="68" customWidth="1"/>
    <col min="10242" max="10242" width="10.42578125" style="68" customWidth="1"/>
    <col min="10243" max="10243" width="6.140625" style="68" customWidth="1"/>
    <col min="10244" max="10244" width="13.5703125" style="68" customWidth="1"/>
    <col min="10245" max="10245" width="55.7109375" style="68" customWidth="1"/>
    <col min="10246" max="10246" width="5.85546875" style="68" customWidth="1"/>
    <col min="10247" max="10247" width="14.140625" style="68" customWidth="1"/>
    <col min="10248" max="10249" width="15.7109375" style="68" customWidth="1"/>
    <col min="10250" max="10250" width="17.7109375" style="68" customWidth="1"/>
    <col min="10251" max="10252" width="14" style="68" customWidth="1"/>
    <col min="10253" max="10254" width="15.7109375" style="68" customWidth="1"/>
    <col min="10255" max="10255" width="17.5703125" style="68" customWidth="1"/>
    <col min="10256" max="10496" width="9.140625" style="68"/>
    <col min="10497" max="10497" width="8.28515625" style="68" customWidth="1"/>
    <col min="10498" max="10498" width="10.42578125" style="68" customWidth="1"/>
    <col min="10499" max="10499" width="6.140625" style="68" customWidth="1"/>
    <col min="10500" max="10500" width="13.5703125" style="68" customWidth="1"/>
    <col min="10501" max="10501" width="55.7109375" style="68" customWidth="1"/>
    <col min="10502" max="10502" width="5.85546875" style="68" customWidth="1"/>
    <col min="10503" max="10503" width="14.140625" style="68" customWidth="1"/>
    <col min="10504" max="10505" width="15.7109375" style="68" customWidth="1"/>
    <col min="10506" max="10506" width="17.7109375" style="68" customWidth="1"/>
    <col min="10507" max="10508" width="14" style="68" customWidth="1"/>
    <col min="10509" max="10510" width="15.7109375" style="68" customWidth="1"/>
    <col min="10511" max="10511" width="17.5703125" style="68" customWidth="1"/>
    <col min="10512" max="10752" width="9.140625" style="68"/>
    <col min="10753" max="10753" width="8.28515625" style="68" customWidth="1"/>
    <col min="10754" max="10754" width="10.42578125" style="68" customWidth="1"/>
    <col min="10755" max="10755" width="6.140625" style="68" customWidth="1"/>
    <col min="10756" max="10756" width="13.5703125" style="68" customWidth="1"/>
    <col min="10757" max="10757" width="55.7109375" style="68" customWidth="1"/>
    <col min="10758" max="10758" width="5.85546875" style="68" customWidth="1"/>
    <col min="10759" max="10759" width="14.140625" style="68" customWidth="1"/>
    <col min="10760" max="10761" width="15.7109375" style="68" customWidth="1"/>
    <col min="10762" max="10762" width="17.7109375" style="68" customWidth="1"/>
    <col min="10763" max="10764" width="14" style="68" customWidth="1"/>
    <col min="10765" max="10766" width="15.7109375" style="68" customWidth="1"/>
    <col min="10767" max="10767" width="17.5703125" style="68" customWidth="1"/>
    <col min="10768" max="11008" width="9.140625" style="68"/>
    <col min="11009" max="11009" width="8.28515625" style="68" customWidth="1"/>
    <col min="11010" max="11010" width="10.42578125" style="68" customWidth="1"/>
    <col min="11011" max="11011" width="6.140625" style="68" customWidth="1"/>
    <col min="11012" max="11012" width="13.5703125" style="68" customWidth="1"/>
    <col min="11013" max="11013" width="55.7109375" style="68" customWidth="1"/>
    <col min="11014" max="11014" width="5.85546875" style="68" customWidth="1"/>
    <col min="11015" max="11015" width="14.140625" style="68" customWidth="1"/>
    <col min="11016" max="11017" width="15.7109375" style="68" customWidth="1"/>
    <col min="11018" max="11018" width="17.7109375" style="68" customWidth="1"/>
    <col min="11019" max="11020" width="14" style="68" customWidth="1"/>
    <col min="11021" max="11022" width="15.7109375" style="68" customWidth="1"/>
    <col min="11023" max="11023" width="17.5703125" style="68" customWidth="1"/>
    <col min="11024" max="11264" width="9.140625" style="68"/>
    <col min="11265" max="11265" width="8.28515625" style="68" customWidth="1"/>
    <col min="11266" max="11266" width="10.42578125" style="68" customWidth="1"/>
    <col min="11267" max="11267" width="6.140625" style="68" customWidth="1"/>
    <col min="11268" max="11268" width="13.5703125" style="68" customWidth="1"/>
    <col min="11269" max="11269" width="55.7109375" style="68" customWidth="1"/>
    <col min="11270" max="11270" width="5.85546875" style="68" customWidth="1"/>
    <col min="11271" max="11271" width="14.140625" style="68" customWidth="1"/>
    <col min="11272" max="11273" width="15.7109375" style="68" customWidth="1"/>
    <col min="11274" max="11274" width="17.7109375" style="68" customWidth="1"/>
    <col min="11275" max="11276" width="14" style="68" customWidth="1"/>
    <col min="11277" max="11278" width="15.7109375" style="68" customWidth="1"/>
    <col min="11279" max="11279" width="17.5703125" style="68" customWidth="1"/>
    <col min="11280" max="11520" width="9.140625" style="68"/>
    <col min="11521" max="11521" width="8.28515625" style="68" customWidth="1"/>
    <col min="11522" max="11522" width="10.42578125" style="68" customWidth="1"/>
    <col min="11523" max="11523" width="6.140625" style="68" customWidth="1"/>
    <col min="11524" max="11524" width="13.5703125" style="68" customWidth="1"/>
    <col min="11525" max="11525" width="55.7109375" style="68" customWidth="1"/>
    <col min="11526" max="11526" width="5.85546875" style="68" customWidth="1"/>
    <col min="11527" max="11527" width="14.140625" style="68" customWidth="1"/>
    <col min="11528" max="11529" width="15.7109375" style="68" customWidth="1"/>
    <col min="11530" max="11530" width="17.7109375" style="68" customWidth="1"/>
    <col min="11531" max="11532" width="14" style="68" customWidth="1"/>
    <col min="11533" max="11534" width="15.7109375" style="68" customWidth="1"/>
    <col min="11535" max="11535" width="17.5703125" style="68" customWidth="1"/>
    <col min="11536" max="11776" width="9.140625" style="68"/>
    <col min="11777" max="11777" width="8.28515625" style="68" customWidth="1"/>
    <col min="11778" max="11778" width="10.42578125" style="68" customWidth="1"/>
    <col min="11779" max="11779" width="6.140625" style="68" customWidth="1"/>
    <col min="11780" max="11780" width="13.5703125" style="68" customWidth="1"/>
    <col min="11781" max="11781" width="55.7109375" style="68" customWidth="1"/>
    <col min="11782" max="11782" width="5.85546875" style="68" customWidth="1"/>
    <col min="11783" max="11783" width="14.140625" style="68" customWidth="1"/>
    <col min="11784" max="11785" width="15.7109375" style="68" customWidth="1"/>
    <col min="11786" max="11786" width="17.7109375" style="68" customWidth="1"/>
    <col min="11787" max="11788" width="14" style="68" customWidth="1"/>
    <col min="11789" max="11790" width="15.7109375" style="68" customWidth="1"/>
    <col min="11791" max="11791" width="17.5703125" style="68" customWidth="1"/>
    <col min="11792" max="12032" width="9.140625" style="68"/>
    <col min="12033" max="12033" width="8.28515625" style="68" customWidth="1"/>
    <col min="12034" max="12034" width="10.42578125" style="68" customWidth="1"/>
    <col min="12035" max="12035" width="6.140625" style="68" customWidth="1"/>
    <col min="12036" max="12036" width="13.5703125" style="68" customWidth="1"/>
    <col min="12037" max="12037" width="55.7109375" style="68" customWidth="1"/>
    <col min="12038" max="12038" width="5.85546875" style="68" customWidth="1"/>
    <col min="12039" max="12039" width="14.140625" style="68" customWidth="1"/>
    <col min="12040" max="12041" width="15.7109375" style="68" customWidth="1"/>
    <col min="12042" max="12042" width="17.7109375" style="68" customWidth="1"/>
    <col min="12043" max="12044" width="14" style="68" customWidth="1"/>
    <col min="12045" max="12046" width="15.7109375" style="68" customWidth="1"/>
    <col min="12047" max="12047" width="17.5703125" style="68" customWidth="1"/>
    <col min="12048" max="12288" width="9.140625" style="68"/>
    <col min="12289" max="12289" width="8.28515625" style="68" customWidth="1"/>
    <col min="12290" max="12290" width="10.42578125" style="68" customWidth="1"/>
    <col min="12291" max="12291" width="6.140625" style="68" customWidth="1"/>
    <col min="12292" max="12292" width="13.5703125" style="68" customWidth="1"/>
    <col min="12293" max="12293" width="55.7109375" style="68" customWidth="1"/>
    <col min="12294" max="12294" width="5.85546875" style="68" customWidth="1"/>
    <col min="12295" max="12295" width="14.140625" style="68" customWidth="1"/>
    <col min="12296" max="12297" width="15.7109375" style="68" customWidth="1"/>
    <col min="12298" max="12298" width="17.7109375" style="68" customWidth="1"/>
    <col min="12299" max="12300" width="14" style="68" customWidth="1"/>
    <col min="12301" max="12302" width="15.7109375" style="68" customWidth="1"/>
    <col min="12303" max="12303" width="17.5703125" style="68" customWidth="1"/>
    <col min="12304" max="12544" width="9.140625" style="68"/>
    <col min="12545" max="12545" width="8.28515625" style="68" customWidth="1"/>
    <col min="12546" max="12546" width="10.42578125" style="68" customWidth="1"/>
    <col min="12547" max="12547" width="6.140625" style="68" customWidth="1"/>
    <col min="12548" max="12548" width="13.5703125" style="68" customWidth="1"/>
    <col min="12549" max="12549" width="55.7109375" style="68" customWidth="1"/>
    <col min="12550" max="12550" width="5.85546875" style="68" customWidth="1"/>
    <col min="12551" max="12551" width="14.140625" style="68" customWidth="1"/>
    <col min="12552" max="12553" width="15.7109375" style="68" customWidth="1"/>
    <col min="12554" max="12554" width="17.7109375" style="68" customWidth="1"/>
    <col min="12555" max="12556" width="14" style="68" customWidth="1"/>
    <col min="12557" max="12558" width="15.7109375" style="68" customWidth="1"/>
    <col min="12559" max="12559" width="17.5703125" style="68" customWidth="1"/>
    <col min="12560" max="12800" width="9.140625" style="68"/>
    <col min="12801" max="12801" width="8.28515625" style="68" customWidth="1"/>
    <col min="12802" max="12802" width="10.42578125" style="68" customWidth="1"/>
    <col min="12803" max="12803" width="6.140625" style="68" customWidth="1"/>
    <col min="12804" max="12804" width="13.5703125" style="68" customWidth="1"/>
    <col min="12805" max="12805" width="55.7109375" style="68" customWidth="1"/>
    <col min="12806" max="12806" width="5.85546875" style="68" customWidth="1"/>
    <col min="12807" max="12807" width="14.140625" style="68" customWidth="1"/>
    <col min="12808" max="12809" width="15.7109375" style="68" customWidth="1"/>
    <col min="12810" max="12810" width="17.7109375" style="68" customWidth="1"/>
    <col min="12811" max="12812" width="14" style="68" customWidth="1"/>
    <col min="12813" max="12814" width="15.7109375" style="68" customWidth="1"/>
    <col min="12815" max="12815" width="17.5703125" style="68" customWidth="1"/>
    <col min="12816" max="13056" width="9.140625" style="68"/>
    <col min="13057" max="13057" width="8.28515625" style="68" customWidth="1"/>
    <col min="13058" max="13058" width="10.42578125" style="68" customWidth="1"/>
    <col min="13059" max="13059" width="6.140625" style="68" customWidth="1"/>
    <col min="13060" max="13060" width="13.5703125" style="68" customWidth="1"/>
    <col min="13061" max="13061" width="55.7109375" style="68" customWidth="1"/>
    <col min="13062" max="13062" width="5.85546875" style="68" customWidth="1"/>
    <col min="13063" max="13063" width="14.140625" style="68" customWidth="1"/>
    <col min="13064" max="13065" width="15.7109375" style="68" customWidth="1"/>
    <col min="13066" max="13066" width="17.7109375" style="68" customWidth="1"/>
    <col min="13067" max="13068" width="14" style="68" customWidth="1"/>
    <col min="13069" max="13070" width="15.7109375" style="68" customWidth="1"/>
    <col min="13071" max="13071" width="17.5703125" style="68" customWidth="1"/>
    <col min="13072" max="13312" width="9.140625" style="68"/>
    <col min="13313" max="13313" width="8.28515625" style="68" customWidth="1"/>
    <col min="13314" max="13314" width="10.42578125" style="68" customWidth="1"/>
    <col min="13315" max="13315" width="6.140625" style="68" customWidth="1"/>
    <col min="13316" max="13316" width="13.5703125" style="68" customWidth="1"/>
    <col min="13317" max="13317" width="55.7109375" style="68" customWidth="1"/>
    <col min="13318" max="13318" width="5.85546875" style="68" customWidth="1"/>
    <col min="13319" max="13319" width="14.140625" style="68" customWidth="1"/>
    <col min="13320" max="13321" width="15.7109375" style="68" customWidth="1"/>
    <col min="13322" max="13322" width="17.7109375" style="68" customWidth="1"/>
    <col min="13323" max="13324" width="14" style="68" customWidth="1"/>
    <col min="13325" max="13326" width="15.7109375" style="68" customWidth="1"/>
    <col min="13327" max="13327" width="17.5703125" style="68" customWidth="1"/>
    <col min="13328" max="13568" width="9.140625" style="68"/>
    <col min="13569" max="13569" width="8.28515625" style="68" customWidth="1"/>
    <col min="13570" max="13570" width="10.42578125" style="68" customWidth="1"/>
    <col min="13571" max="13571" width="6.140625" style="68" customWidth="1"/>
    <col min="13572" max="13572" width="13.5703125" style="68" customWidth="1"/>
    <col min="13573" max="13573" width="55.7109375" style="68" customWidth="1"/>
    <col min="13574" max="13574" width="5.85546875" style="68" customWidth="1"/>
    <col min="13575" max="13575" width="14.140625" style="68" customWidth="1"/>
    <col min="13576" max="13577" width="15.7109375" style="68" customWidth="1"/>
    <col min="13578" max="13578" width="17.7109375" style="68" customWidth="1"/>
    <col min="13579" max="13580" width="14" style="68" customWidth="1"/>
    <col min="13581" max="13582" width="15.7109375" style="68" customWidth="1"/>
    <col min="13583" max="13583" width="17.5703125" style="68" customWidth="1"/>
    <col min="13584" max="13824" width="9.140625" style="68"/>
    <col min="13825" max="13825" width="8.28515625" style="68" customWidth="1"/>
    <col min="13826" max="13826" width="10.42578125" style="68" customWidth="1"/>
    <col min="13827" max="13827" width="6.140625" style="68" customWidth="1"/>
    <col min="13828" max="13828" width="13.5703125" style="68" customWidth="1"/>
    <col min="13829" max="13829" width="55.7109375" style="68" customWidth="1"/>
    <col min="13830" max="13830" width="5.85546875" style="68" customWidth="1"/>
    <col min="13831" max="13831" width="14.140625" style="68" customWidth="1"/>
    <col min="13832" max="13833" width="15.7109375" style="68" customWidth="1"/>
    <col min="13834" max="13834" width="17.7109375" style="68" customWidth="1"/>
    <col min="13835" max="13836" width="14" style="68" customWidth="1"/>
    <col min="13837" max="13838" width="15.7109375" style="68" customWidth="1"/>
    <col min="13839" max="13839" width="17.5703125" style="68" customWidth="1"/>
    <col min="13840" max="14080" width="9.140625" style="68"/>
    <col min="14081" max="14081" width="8.28515625" style="68" customWidth="1"/>
    <col min="14082" max="14082" width="10.42578125" style="68" customWidth="1"/>
    <col min="14083" max="14083" width="6.140625" style="68" customWidth="1"/>
    <col min="14084" max="14084" width="13.5703125" style="68" customWidth="1"/>
    <col min="14085" max="14085" width="55.7109375" style="68" customWidth="1"/>
    <col min="14086" max="14086" width="5.85546875" style="68" customWidth="1"/>
    <col min="14087" max="14087" width="14.140625" style="68" customWidth="1"/>
    <col min="14088" max="14089" width="15.7109375" style="68" customWidth="1"/>
    <col min="14090" max="14090" width="17.7109375" style="68" customWidth="1"/>
    <col min="14091" max="14092" width="14" style="68" customWidth="1"/>
    <col min="14093" max="14094" width="15.7109375" style="68" customWidth="1"/>
    <col min="14095" max="14095" width="17.5703125" style="68" customWidth="1"/>
    <col min="14096" max="14336" width="9.140625" style="68"/>
    <col min="14337" max="14337" width="8.28515625" style="68" customWidth="1"/>
    <col min="14338" max="14338" width="10.42578125" style="68" customWidth="1"/>
    <col min="14339" max="14339" width="6.140625" style="68" customWidth="1"/>
    <col min="14340" max="14340" width="13.5703125" style="68" customWidth="1"/>
    <col min="14341" max="14341" width="55.7109375" style="68" customWidth="1"/>
    <col min="14342" max="14342" width="5.85546875" style="68" customWidth="1"/>
    <col min="14343" max="14343" width="14.140625" style="68" customWidth="1"/>
    <col min="14344" max="14345" width="15.7109375" style="68" customWidth="1"/>
    <col min="14346" max="14346" width="17.7109375" style="68" customWidth="1"/>
    <col min="14347" max="14348" width="14" style="68" customWidth="1"/>
    <col min="14349" max="14350" width="15.7109375" style="68" customWidth="1"/>
    <col min="14351" max="14351" width="17.5703125" style="68" customWidth="1"/>
    <col min="14352" max="14592" width="9.140625" style="68"/>
    <col min="14593" max="14593" width="8.28515625" style="68" customWidth="1"/>
    <col min="14594" max="14594" width="10.42578125" style="68" customWidth="1"/>
    <col min="14595" max="14595" width="6.140625" style="68" customWidth="1"/>
    <col min="14596" max="14596" width="13.5703125" style="68" customWidth="1"/>
    <col min="14597" max="14597" width="55.7109375" style="68" customWidth="1"/>
    <col min="14598" max="14598" width="5.85546875" style="68" customWidth="1"/>
    <col min="14599" max="14599" width="14.140625" style="68" customWidth="1"/>
    <col min="14600" max="14601" width="15.7109375" style="68" customWidth="1"/>
    <col min="14602" max="14602" width="17.7109375" style="68" customWidth="1"/>
    <col min="14603" max="14604" width="14" style="68" customWidth="1"/>
    <col min="14605" max="14606" width="15.7109375" style="68" customWidth="1"/>
    <col min="14607" max="14607" width="17.5703125" style="68" customWidth="1"/>
    <col min="14608" max="14848" width="9.140625" style="68"/>
    <col min="14849" max="14849" width="8.28515625" style="68" customWidth="1"/>
    <col min="14850" max="14850" width="10.42578125" style="68" customWidth="1"/>
    <col min="14851" max="14851" width="6.140625" style="68" customWidth="1"/>
    <col min="14852" max="14852" width="13.5703125" style="68" customWidth="1"/>
    <col min="14853" max="14853" width="55.7109375" style="68" customWidth="1"/>
    <col min="14854" max="14854" width="5.85546875" style="68" customWidth="1"/>
    <col min="14855" max="14855" width="14.140625" style="68" customWidth="1"/>
    <col min="14856" max="14857" width="15.7109375" style="68" customWidth="1"/>
    <col min="14858" max="14858" width="17.7109375" style="68" customWidth="1"/>
    <col min="14859" max="14860" width="14" style="68" customWidth="1"/>
    <col min="14861" max="14862" width="15.7109375" style="68" customWidth="1"/>
    <col min="14863" max="14863" width="17.5703125" style="68" customWidth="1"/>
    <col min="14864" max="15104" width="9.140625" style="68"/>
    <col min="15105" max="15105" width="8.28515625" style="68" customWidth="1"/>
    <col min="15106" max="15106" width="10.42578125" style="68" customWidth="1"/>
    <col min="15107" max="15107" width="6.140625" style="68" customWidth="1"/>
    <col min="15108" max="15108" width="13.5703125" style="68" customWidth="1"/>
    <col min="15109" max="15109" width="55.7109375" style="68" customWidth="1"/>
    <col min="15110" max="15110" width="5.85546875" style="68" customWidth="1"/>
    <col min="15111" max="15111" width="14.140625" style="68" customWidth="1"/>
    <col min="15112" max="15113" width="15.7109375" style="68" customWidth="1"/>
    <col min="15114" max="15114" width="17.7109375" style="68" customWidth="1"/>
    <col min="15115" max="15116" width="14" style="68" customWidth="1"/>
    <col min="15117" max="15118" width="15.7109375" style="68" customWidth="1"/>
    <col min="15119" max="15119" width="17.5703125" style="68" customWidth="1"/>
    <col min="15120" max="15360" width="9.140625" style="68"/>
    <col min="15361" max="15361" width="8.28515625" style="68" customWidth="1"/>
    <col min="15362" max="15362" width="10.42578125" style="68" customWidth="1"/>
    <col min="15363" max="15363" width="6.140625" style="68" customWidth="1"/>
    <col min="15364" max="15364" width="13.5703125" style="68" customWidth="1"/>
    <col min="15365" max="15365" width="55.7109375" style="68" customWidth="1"/>
    <col min="15366" max="15366" width="5.85546875" style="68" customWidth="1"/>
    <col min="15367" max="15367" width="14.140625" style="68" customWidth="1"/>
    <col min="15368" max="15369" width="15.7109375" style="68" customWidth="1"/>
    <col min="15370" max="15370" width="17.7109375" style="68" customWidth="1"/>
    <col min="15371" max="15372" width="14" style="68" customWidth="1"/>
    <col min="15373" max="15374" width="15.7109375" style="68" customWidth="1"/>
    <col min="15375" max="15375" width="17.5703125" style="68" customWidth="1"/>
    <col min="15376" max="15616" width="9.140625" style="68"/>
    <col min="15617" max="15617" width="8.28515625" style="68" customWidth="1"/>
    <col min="15618" max="15618" width="10.42578125" style="68" customWidth="1"/>
    <col min="15619" max="15619" width="6.140625" style="68" customWidth="1"/>
    <col min="15620" max="15620" width="13.5703125" style="68" customWidth="1"/>
    <col min="15621" max="15621" width="55.7109375" style="68" customWidth="1"/>
    <col min="15622" max="15622" width="5.85546875" style="68" customWidth="1"/>
    <col min="15623" max="15623" width="14.140625" style="68" customWidth="1"/>
    <col min="15624" max="15625" width="15.7109375" style="68" customWidth="1"/>
    <col min="15626" max="15626" width="17.7109375" style="68" customWidth="1"/>
    <col min="15627" max="15628" width="14" style="68" customWidth="1"/>
    <col min="15629" max="15630" width="15.7109375" style="68" customWidth="1"/>
    <col min="15631" max="15631" width="17.5703125" style="68" customWidth="1"/>
    <col min="15632" max="15872" width="9.140625" style="68"/>
    <col min="15873" max="15873" width="8.28515625" style="68" customWidth="1"/>
    <col min="15874" max="15874" width="10.42578125" style="68" customWidth="1"/>
    <col min="15875" max="15875" width="6.140625" style="68" customWidth="1"/>
    <col min="15876" max="15876" width="13.5703125" style="68" customWidth="1"/>
    <col min="15877" max="15877" width="55.7109375" style="68" customWidth="1"/>
    <col min="15878" max="15878" width="5.85546875" style="68" customWidth="1"/>
    <col min="15879" max="15879" width="14.140625" style="68" customWidth="1"/>
    <col min="15880" max="15881" width="15.7109375" style="68" customWidth="1"/>
    <col min="15882" max="15882" width="17.7109375" style="68" customWidth="1"/>
    <col min="15883" max="15884" width="14" style="68" customWidth="1"/>
    <col min="15885" max="15886" width="15.7109375" style="68" customWidth="1"/>
    <col min="15887" max="15887" width="17.5703125" style="68" customWidth="1"/>
    <col min="15888" max="16128" width="9.140625" style="68"/>
    <col min="16129" max="16129" width="8.28515625" style="68" customWidth="1"/>
    <col min="16130" max="16130" width="10.42578125" style="68" customWidth="1"/>
    <col min="16131" max="16131" width="6.140625" style="68" customWidth="1"/>
    <col min="16132" max="16132" width="13.5703125" style="68" customWidth="1"/>
    <col min="16133" max="16133" width="55.7109375" style="68" customWidth="1"/>
    <col min="16134" max="16134" width="5.85546875" style="68" customWidth="1"/>
    <col min="16135" max="16135" width="14.140625" style="68" customWidth="1"/>
    <col min="16136" max="16137" width="15.7109375" style="68" customWidth="1"/>
    <col min="16138" max="16138" width="17.7109375" style="68" customWidth="1"/>
    <col min="16139" max="16140" width="14" style="68" customWidth="1"/>
    <col min="16141" max="16142" width="15.7109375" style="68" customWidth="1"/>
    <col min="16143" max="16143" width="17.5703125" style="68" customWidth="1"/>
    <col min="16144" max="16384" width="9.140625" style="68"/>
  </cols>
  <sheetData>
    <row r="1" spans="1:15" ht="12.75" customHeight="1" x14ac:dyDescent="0.2">
      <c r="A1" s="64" t="s">
        <v>745</v>
      </c>
      <c r="B1" s="65"/>
      <c r="C1" s="66"/>
      <c r="D1" s="66" t="s">
        <v>746</v>
      </c>
      <c r="E1" s="66"/>
      <c r="F1" s="66"/>
      <c r="G1" s="67"/>
      <c r="H1" s="67"/>
      <c r="I1" s="67"/>
      <c r="J1" s="67"/>
      <c r="K1" s="66"/>
      <c r="L1" s="66"/>
      <c r="M1" s="66"/>
      <c r="N1" s="66"/>
      <c r="O1" s="66"/>
    </row>
    <row r="2" spans="1:15" ht="12.75" customHeight="1" x14ac:dyDescent="0.2">
      <c r="A2" s="64" t="s">
        <v>747</v>
      </c>
      <c r="B2" s="66"/>
      <c r="C2" s="66"/>
      <c r="D2" s="66" t="s">
        <v>748</v>
      </c>
      <c r="E2" s="66"/>
      <c r="F2" s="66"/>
      <c r="G2" s="67"/>
      <c r="H2" s="66"/>
      <c r="I2" s="66"/>
      <c r="J2" s="66"/>
      <c r="K2" s="66"/>
      <c r="L2" s="66"/>
      <c r="M2" s="66"/>
      <c r="N2" s="66"/>
      <c r="O2" s="66"/>
    </row>
    <row r="3" spans="1:15" ht="12.75" customHeight="1" x14ac:dyDescent="0.2">
      <c r="A3" s="64" t="s">
        <v>749</v>
      </c>
      <c r="B3" s="66"/>
      <c r="C3" s="66"/>
      <c r="D3" s="66" t="s">
        <v>750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2" customHeight="1" x14ac:dyDescent="0.2">
      <c r="A4" s="64" t="s">
        <v>14</v>
      </c>
      <c r="B4" s="65" t="s">
        <v>751</v>
      </c>
      <c r="C4" s="66"/>
      <c r="D4" s="69" t="s">
        <v>752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x14ac:dyDescent="0.2">
      <c r="A5" s="66"/>
      <c r="B5" s="66"/>
      <c r="C5" s="66"/>
      <c r="D5" s="66"/>
      <c r="E5" s="66"/>
      <c r="F5" s="66"/>
      <c r="G5" s="66"/>
      <c r="H5" s="70"/>
      <c r="I5" s="71"/>
      <c r="J5" s="66"/>
      <c r="K5" s="66"/>
      <c r="L5" s="66"/>
      <c r="M5" s="72" t="s">
        <v>753</v>
      </c>
      <c r="N5" s="73"/>
      <c r="O5" s="66"/>
    </row>
    <row r="6" spans="1:15" ht="19.5" customHeight="1" x14ac:dyDescent="0.2">
      <c r="A6" s="74" t="s">
        <v>754</v>
      </c>
      <c r="B6" s="74" t="s">
        <v>755</v>
      </c>
      <c r="C6" s="74" t="s">
        <v>756</v>
      </c>
      <c r="D6" s="74" t="s">
        <v>757</v>
      </c>
      <c r="E6" s="74" t="s">
        <v>758</v>
      </c>
      <c r="F6" s="74" t="s">
        <v>22</v>
      </c>
      <c r="G6" s="75" t="s">
        <v>23</v>
      </c>
      <c r="H6" s="76">
        <f>[2]Rekapitulace!G4</f>
        <v>0.15</v>
      </c>
      <c r="I6" s="76" t="s">
        <v>759</v>
      </c>
      <c r="J6" s="77" t="s">
        <v>760</v>
      </c>
      <c r="K6" s="78" t="s">
        <v>761</v>
      </c>
      <c r="L6" s="78" t="s">
        <v>762</v>
      </c>
      <c r="M6" s="76">
        <f>[2]Rekapitulace!G4</f>
        <v>0.15</v>
      </c>
      <c r="N6" s="76">
        <v>0.21</v>
      </c>
      <c r="O6" s="74" t="s">
        <v>763</v>
      </c>
    </row>
    <row r="7" spans="1:15" ht="12.75" customHeight="1" x14ac:dyDescent="0.2">
      <c r="A7" s="79" t="s">
        <v>764</v>
      </c>
      <c r="B7" s="79" t="s">
        <v>765</v>
      </c>
      <c r="C7" s="79"/>
      <c r="D7" s="80" t="s">
        <v>766</v>
      </c>
      <c r="E7" s="81" t="s">
        <v>767</v>
      </c>
      <c r="F7" s="80"/>
      <c r="G7" s="82">
        <v>0</v>
      </c>
      <c r="H7" s="83"/>
      <c r="I7" s="83"/>
      <c r="J7" s="84">
        <f t="shared" ref="J7:J43" si="0">ROUND(G7*(H7+I7),2)</f>
        <v>0</v>
      </c>
      <c r="K7" s="85"/>
      <c r="L7" s="85"/>
      <c r="M7" s="83">
        <f>[2]Rekapitulace!$G$4*G7*H7</f>
        <v>0</v>
      </c>
      <c r="N7" s="83">
        <f>[2]Rekapitulace!$H$4*G7*I7</f>
        <v>0</v>
      </c>
      <c r="O7" s="80" t="s">
        <v>48</v>
      </c>
    </row>
    <row r="8" spans="1:15" ht="12.75" customHeight="1" x14ac:dyDescent="0.2">
      <c r="A8" s="86" t="s">
        <v>768</v>
      </c>
      <c r="B8" s="86" t="s">
        <v>224</v>
      </c>
      <c r="C8" s="86" t="s">
        <v>769</v>
      </c>
      <c r="D8" s="87" t="s">
        <v>770</v>
      </c>
      <c r="E8" s="87" t="s">
        <v>771</v>
      </c>
      <c r="F8" s="87" t="s">
        <v>541</v>
      </c>
      <c r="G8" s="88">
        <v>100</v>
      </c>
      <c r="H8" s="89"/>
      <c r="I8" s="89"/>
      <c r="J8" s="90">
        <f t="shared" si="0"/>
        <v>0</v>
      </c>
      <c r="K8" s="85">
        <v>0</v>
      </c>
      <c r="L8" s="85">
        <v>0</v>
      </c>
      <c r="M8" s="91">
        <f>[3]Rekapitulace!$G$4*G8*H8</f>
        <v>0</v>
      </c>
      <c r="N8" s="91">
        <f>[3]Rekapitulace!$H$4*G8*I8</f>
        <v>0</v>
      </c>
      <c r="O8" s="92" t="s">
        <v>48</v>
      </c>
    </row>
    <row r="9" spans="1:15" ht="12.75" customHeight="1" x14ac:dyDescent="0.2">
      <c r="A9" s="86" t="s">
        <v>768</v>
      </c>
      <c r="B9" s="86" t="s">
        <v>224</v>
      </c>
      <c r="C9" s="86" t="s">
        <v>769</v>
      </c>
      <c r="D9" s="87" t="s">
        <v>772</v>
      </c>
      <c r="E9" s="87" t="s">
        <v>773</v>
      </c>
      <c r="F9" s="87" t="s">
        <v>541</v>
      </c>
      <c r="G9" s="88">
        <v>30</v>
      </c>
      <c r="H9" s="89"/>
      <c r="I9" s="89"/>
      <c r="J9" s="90">
        <f t="shared" si="0"/>
        <v>0</v>
      </c>
      <c r="K9" s="85">
        <v>0</v>
      </c>
      <c r="L9" s="85">
        <v>0</v>
      </c>
      <c r="M9" s="91">
        <f>[3]Rekapitulace!$G$4*G9*H9</f>
        <v>0</v>
      </c>
      <c r="N9" s="91">
        <f>[3]Rekapitulace!$H$4*G9*I9</f>
        <v>0</v>
      </c>
      <c r="O9" s="92" t="s">
        <v>48</v>
      </c>
    </row>
    <row r="10" spans="1:15" ht="63.75" x14ac:dyDescent="0.2">
      <c r="A10" s="86" t="s">
        <v>768</v>
      </c>
      <c r="B10" s="86" t="s">
        <v>224</v>
      </c>
      <c r="C10" s="86" t="s">
        <v>769</v>
      </c>
      <c r="D10" s="87" t="s">
        <v>774</v>
      </c>
      <c r="E10" s="93" t="s">
        <v>775</v>
      </c>
      <c r="F10" s="87" t="s">
        <v>776</v>
      </c>
      <c r="G10" s="88">
        <v>520</v>
      </c>
      <c r="H10" s="89"/>
      <c r="I10" s="89"/>
      <c r="J10" s="90">
        <f t="shared" si="0"/>
        <v>0</v>
      </c>
      <c r="K10" s="85">
        <v>0</v>
      </c>
      <c r="L10" s="85">
        <v>0</v>
      </c>
      <c r="M10" s="91">
        <f>[2]Rekapitulace!$G$4*G10*H10</f>
        <v>0</v>
      </c>
      <c r="N10" s="91">
        <f>[2]Rekapitulace!$H$4*G10*I10</f>
        <v>0</v>
      </c>
      <c r="O10" s="92" t="s">
        <v>48</v>
      </c>
    </row>
    <row r="11" spans="1:15" ht="25.5" x14ac:dyDescent="0.2">
      <c r="A11" s="86" t="s">
        <v>768</v>
      </c>
      <c r="B11" s="86" t="s">
        <v>224</v>
      </c>
      <c r="C11" s="86" t="s">
        <v>769</v>
      </c>
      <c r="D11" s="87" t="s">
        <v>777</v>
      </c>
      <c r="E11" s="94" t="s">
        <v>778</v>
      </c>
      <c r="F11" s="95" t="s">
        <v>462</v>
      </c>
      <c r="G11" s="88">
        <v>3</v>
      </c>
      <c r="H11" s="89"/>
      <c r="I11" s="89"/>
      <c r="J11" s="90">
        <f t="shared" si="0"/>
        <v>0</v>
      </c>
      <c r="K11" s="85">
        <v>0</v>
      </c>
      <c r="L11" s="85">
        <v>0</v>
      </c>
      <c r="M11" s="91">
        <f>[4]Rekapitulace!$G$4*G11*H11</f>
        <v>0</v>
      </c>
      <c r="N11" s="91">
        <f>[4]Rekapitulace!$H$4*G11*I11</f>
        <v>0</v>
      </c>
      <c r="O11" s="92" t="s">
        <v>48</v>
      </c>
    </row>
    <row r="12" spans="1:15" ht="25.5" x14ac:dyDescent="0.2">
      <c r="A12" s="86" t="s">
        <v>768</v>
      </c>
      <c r="B12" s="86" t="s">
        <v>224</v>
      </c>
      <c r="C12" s="86" t="s">
        <v>769</v>
      </c>
      <c r="D12" s="87" t="s">
        <v>779</v>
      </c>
      <c r="E12" s="94" t="s">
        <v>780</v>
      </c>
      <c r="F12" s="87" t="s">
        <v>462</v>
      </c>
      <c r="G12" s="88">
        <v>3</v>
      </c>
      <c r="H12" s="89"/>
      <c r="I12" s="89"/>
      <c r="J12" s="90">
        <f t="shared" si="0"/>
        <v>0</v>
      </c>
      <c r="K12" s="85">
        <v>0</v>
      </c>
      <c r="L12" s="85">
        <v>0</v>
      </c>
      <c r="M12" s="91">
        <f>[5]Rekapitulace!$G$4*G12*H12</f>
        <v>0</v>
      </c>
      <c r="N12" s="91">
        <f>[5]Rekapitulace!$H$4*G12*I12</f>
        <v>0</v>
      </c>
      <c r="O12" s="92" t="s">
        <v>48</v>
      </c>
    </row>
    <row r="13" spans="1:15" ht="12.75" customHeight="1" x14ac:dyDescent="0.2">
      <c r="A13" s="79" t="s">
        <v>764</v>
      </c>
      <c r="B13" s="79" t="s">
        <v>765</v>
      </c>
      <c r="C13" s="79"/>
      <c r="D13" s="80" t="s">
        <v>781</v>
      </c>
      <c r="E13" s="81" t="s">
        <v>782</v>
      </c>
      <c r="F13" s="80"/>
      <c r="G13" s="82">
        <v>0</v>
      </c>
      <c r="H13" s="83"/>
      <c r="I13" s="83"/>
      <c r="J13" s="84">
        <f t="shared" si="0"/>
        <v>0</v>
      </c>
      <c r="K13" s="85"/>
      <c r="L13" s="85"/>
      <c r="M13" s="83">
        <f>[2]Rekapitulace!$G$4*G13*H13</f>
        <v>0</v>
      </c>
      <c r="N13" s="83">
        <f>[2]Rekapitulace!$H$4*G13*I13</f>
        <v>0</v>
      </c>
      <c r="O13" s="80" t="s">
        <v>48</v>
      </c>
    </row>
    <row r="14" spans="1:15" ht="12.75" customHeight="1" x14ac:dyDescent="0.2">
      <c r="A14" s="86" t="s">
        <v>768</v>
      </c>
      <c r="B14" s="86" t="s">
        <v>224</v>
      </c>
      <c r="C14" s="86" t="s">
        <v>769</v>
      </c>
      <c r="D14" s="87" t="s">
        <v>783</v>
      </c>
      <c r="E14" s="87" t="s">
        <v>784</v>
      </c>
      <c r="F14" s="87" t="s">
        <v>541</v>
      </c>
      <c r="G14" s="88">
        <v>20</v>
      </c>
      <c r="H14" s="89"/>
      <c r="I14" s="89"/>
      <c r="J14" s="90">
        <f t="shared" si="0"/>
        <v>0</v>
      </c>
      <c r="K14" s="85">
        <v>0</v>
      </c>
      <c r="L14" s="85">
        <v>0</v>
      </c>
      <c r="M14" s="91">
        <f>[2]Rekapitulace!$G$4*G14*H14</f>
        <v>0</v>
      </c>
      <c r="N14" s="91">
        <f>[2]Rekapitulace!$H$4*G14*I14</f>
        <v>0</v>
      </c>
      <c r="O14" s="92" t="s">
        <v>48</v>
      </c>
    </row>
    <row r="15" spans="1:15" ht="12.75" customHeight="1" x14ac:dyDescent="0.2">
      <c r="A15" s="86" t="s">
        <v>768</v>
      </c>
      <c r="B15" s="86" t="s">
        <v>224</v>
      </c>
      <c r="C15" s="86" t="s">
        <v>769</v>
      </c>
      <c r="D15" s="87" t="s">
        <v>785</v>
      </c>
      <c r="E15" s="87" t="s">
        <v>786</v>
      </c>
      <c r="F15" s="87" t="s">
        <v>541</v>
      </c>
      <c r="G15" s="88">
        <v>8</v>
      </c>
      <c r="H15" s="89"/>
      <c r="I15" s="89"/>
      <c r="J15" s="90">
        <f t="shared" si="0"/>
        <v>0</v>
      </c>
      <c r="K15" s="85">
        <v>0</v>
      </c>
      <c r="L15" s="85">
        <v>0</v>
      </c>
      <c r="M15" s="91">
        <f>[2]Rekapitulace!$G$4*G15*H15</f>
        <v>0</v>
      </c>
      <c r="N15" s="91">
        <f>[2]Rekapitulace!$H$4*G15*I15</f>
        <v>0</v>
      </c>
      <c r="O15" s="92" t="s">
        <v>48</v>
      </c>
    </row>
    <row r="16" spans="1:15" ht="25.5" x14ac:dyDescent="0.2">
      <c r="A16" s="86" t="s">
        <v>768</v>
      </c>
      <c r="B16" s="86" t="s">
        <v>224</v>
      </c>
      <c r="C16" s="86" t="s">
        <v>769</v>
      </c>
      <c r="D16" s="87" t="s">
        <v>787</v>
      </c>
      <c r="E16" s="94" t="s">
        <v>788</v>
      </c>
      <c r="F16" s="87" t="s">
        <v>541</v>
      </c>
      <c r="G16" s="88">
        <v>16</v>
      </c>
      <c r="H16" s="89"/>
      <c r="I16" s="89"/>
      <c r="J16" s="90">
        <f t="shared" si="0"/>
        <v>0</v>
      </c>
      <c r="K16" s="85">
        <v>0</v>
      </c>
      <c r="L16" s="85">
        <v>0</v>
      </c>
      <c r="M16" s="91">
        <f>[6]Rekapitulace!$G$4*G16*H16</f>
        <v>0</v>
      </c>
      <c r="N16" s="91">
        <f>[6]Rekapitulace!$H$4*G16*I16</f>
        <v>0</v>
      </c>
      <c r="O16" s="92" t="s">
        <v>48</v>
      </c>
    </row>
    <row r="17" spans="1:15" x14ac:dyDescent="0.2">
      <c r="A17" s="86" t="s">
        <v>768</v>
      </c>
      <c r="B17" s="86" t="s">
        <v>224</v>
      </c>
      <c r="C17" s="86" t="s">
        <v>769</v>
      </c>
      <c r="D17" s="87" t="s">
        <v>789</v>
      </c>
      <c r="E17" s="94" t="s">
        <v>790</v>
      </c>
      <c r="F17" s="95" t="s">
        <v>541</v>
      </c>
      <c r="G17" s="88">
        <v>40</v>
      </c>
      <c r="H17" s="89"/>
      <c r="I17" s="89"/>
      <c r="J17" s="90">
        <f t="shared" si="0"/>
        <v>0</v>
      </c>
      <c r="K17" s="85">
        <v>0</v>
      </c>
      <c r="L17" s="85">
        <v>0</v>
      </c>
      <c r="M17" s="91">
        <f>[7]Rekapitulace!$G$4*G17*H17</f>
        <v>0</v>
      </c>
      <c r="N17" s="91">
        <f>[7]Rekapitulace!$H$4*G17*I17</f>
        <v>0</v>
      </c>
      <c r="O17" s="92" t="s">
        <v>48</v>
      </c>
    </row>
    <row r="18" spans="1:15" x14ac:dyDescent="0.2">
      <c r="A18" s="86" t="s">
        <v>768</v>
      </c>
      <c r="B18" s="86" t="s">
        <v>224</v>
      </c>
      <c r="C18" s="86" t="s">
        <v>769</v>
      </c>
      <c r="D18" s="87" t="s">
        <v>791</v>
      </c>
      <c r="E18" s="93" t="s">
        <v>792</v>
      </c>
      <c r="F18" s="87" t="s">
        <v>462</v>
      </c>
      <c r="G18" s="88">
        <v>1</v>
      </c>
      <c r="H18" s="89"/>
      <c r="I18" s="89"/>
      <c r="J18" s="90">
        <f t="shared" si="0"/>
        <v>0</v>
      </c>
      <c r="K18" s="85">
        <v>0</v>
      </c>
      <c r="L18" s="85">
        <v>0</v>
      </c>
      <c r="M18" s="91">
        <f>[2]Rekapitulace!$G$4*G18*H18</f>
        <v>0</v>
      </c>
      <c r="N18" s="91">
        <f>[2]Rekapitulace!$H$4*G18*I18</f>
        <v>0</v>
      </c>
      <c r="O18" s="92" t="s">
        <v>48</v>
      </c>
    </row>
    <row r="19" spans="1:15" ht="12.75" customHeight="1" x14ac:dyDescent="0.2">
      <c r="A19" s="79" t="s">
        <v>764</v>
      </c>
      <c r="B19" s="79" t="s">
        <v>765</v>
      </c>
      <c r="C19" s="79"/>
      <c r="D19" s="80" t="s">
        <v>793</v>
      </c>
      <c r="E19" s="96" t="s">
        <v>794</v>
      </c>
      <c r="F19" s="80"/>
      <c r="G19" s="82">
        <v>0</v>
      </c>
      <c r="H19" s="83"/>
      <c r="I19" s="83"/>
      <c r="J19" s="84">
        <f t="shared" si="0"/>
        <v>0</v>
      </c>
      <c r="K19" s="85"/>
      <c r="L19" s="85"/>
      <c r="M19" s="83">
        <f>[7]Rekapitulace!$G$4*G19*H19</f>
        <v>0</v>
      </c>
      <c r="N19" s="83">
        <f>[7]Rekapitulace!$H$4*G19*I19</f>
        <v>0</v>
      </c>
      <c r="O19" s="80" t="s">
        <v>48</v>
      </c>
    </row>
    <row r="20" spans="1:15" ht="38.25" x14ac:dyDescent="0.2">
      <c r="A20" s="86" t="s">
        <v>768</v>
      </c>
      <c r="B20" s="86" t="s">
        <v>224</v>
      </c>
      <c r="C20" s="86" t="s">
        <v>769</v>
      </c>
      <c r="D20" s="87" t="s">
        <v>795</v>
      </c>
      <c r="E20" s="93" t="s">
        <v>796</v>
      </c>
      <c r="F20" s="87" t="s">
        <v>541</v>
      </c>
      <c r="G20" s="88">
        <v>8</v>
      </c>
      <c r="H20" s="89"/>
      <c r="I20" s="89"/>
      <c r="J20" s="90">
        <f t="shared" si="0"/>
        <v>0</v>
      </c>
      <c r="K20" s="85">
        <v>0</v>
      </c>
      <c r="L20" s="85">
        <v>0</v>
      </c>
      <c r="M20" s="91">
        <f>[7]Rekapitulace!$G$4*G20*H20</f>
        <v>0</v>
      </c>
      <c r="N20" s="91">
        <f>[7]Rekapitulace!$H$4*G20*I20</f>
        <v>0</v>
      </c>
      <c r="O20" s="92" t="s">
        <v>48</v>
      </c>
    </row>
    <row r="21" spans="1:15" ht="25.5" x14ac:dyDescent="0.2">
      <c r="A21" s="86" t="s">
        <v>768</v>
      </c>
      <c r="B21" s="86" t="s">
        <v>224</v>
      </c>
      <c r="C21" s="86" t="s">
        <v>769</v>
      </c>
      <c r="D21" s="87" t="s">
        <v>797</v>
      </c>
      <c r="E21" s="93" t="s">
        <v>798</v>
      </c>
      <c r="F21" s="87" t="s">
        <v>799</v>
      </c>
      <c r="G21" s="88">
        <v>20</v>
      </c>
      <c r="H21" s="89"/>
      <c r="I21" s="89"/>
      <c r="J21" s="90">
        <f t="shared" si="0"/>
        <v>0</v>
      </c>
      <c r="K21" s="85">
        <v>0</v>
      </c>
      <c r="L21" s="85">
        <v>0</v>
      </c>
      <c r="M21" s="91">
        <f>[7]Rekapitulace!$G$4*G21*H21</f>
        <v>0</v>
      </c>
      <c r="N21" s="91">
        <f>[7]Rekapitulace!$H$4*G21*I21</f>
        <v>0</v>
      </c>
      <c r="O21" s="92" t="s">
        <v>48</v>
      </c>
    </row>
    <row r="22" spans="1:15" x14ac:dyDescent="0.2">
      <c r="A22" s="86"/>
      <c r="B22" s="86"/>
      <c r="C22" s="86"/>
      <c r="D22" s="87"/>
      <c r="E22" s="93"/>
      <c r="F22" s="97" t="s">
        <v>800</v>
      </c>
      <c r="G22" s="88"/>
      <c r="H22" s="89"/>
      <c r="I22" s="83"/>
      <c r="J22" s="90">
        <f>SUM(J8:J21)</f>
        <v>0</v>
      </c>
      <c r="K22" s="85"/>
      <c r="L22" s="85"/>
      <c r="M22" s="91"/>
      <c r="N22" s="91"/>
      <c r="O22" s="92"/>
    </row>
    <row r="23" spans="1:15" ht="12.75" customHeight="1" x14ac:dyDescent="0.2">
      <c r="A23" s="79" t="s">
        <v>764</v>
      </c>
      <c r="B23" s="79" t="s">
        <v>765</v>
      </c>
      <c r="C23" s="79"/>
      <c r="D23" s="80" t="s">
        <v>801</v>
      </c>
      <c r="E23" s="96" t="s">
        <v>802</v>
      </c>
      <c r="F23" s="80"/>
      <c r="G23" s="82">
        <v>0</v>
      </c>
      <c r="H23" s="83"/>
      <c r="I23" s="83"/>
      <c r="J23" s="84">
        <f t="shared" si="0"/>
        <v>0</v>
      </c>
      <c r="K23" s="85"/>
      <c r="L23" s="85"/>
      <c r="M23" s="83">
        <f>[8]Rekapitulace!$G$4*G23*H23</f>
        <v>0</v>
      </c>
      <c r="N23" s="83">
        <f>[8]Rekapitulace!$H$4*G23*I23</f>
        <v>0</v>
      </c>
      <c r="O23" s="80" t="s">
        <v>48</v>
      </c>
    </row>
    <row r="24" spans="1:15" x14ac:dyDescent="0.2">
      <c r="A24" s="86" t="s">
        <v>224</v>
      </c>
      <c r="B24" s="86" t="s">
        <v>803</v>
      </c>
      <c r="C24" s="86" t="s">
        <v>45</v>
      </c>
      <c r="D24" s="87" t="s">
        <v>804</v>
      </c>
      <c r="E24" s="94" t="s">
        <v>805</v>
      </c>
      <c r="F24" s="87" t="s">
        <v>462</v>
      </c>
      <c r="G24" s="88">
        <v>4</v>
      </c>
      <c r="H24" s="89"/>
      <c r="I24" s="89"/>
      <c r="J24" s="90">
        <f t="shared" si="0"/>
        <v>0</v>
      </c>
      <c r="K24" s="85">
        <v>0</v>
      </c>
      <c r="L24" s="85">
        <v>0</v>
      </c>
      <c r="M24" s="91">
        <f>[7]Rekapitulace!$G$4*G24*H24</f>
        <v>0</v>
      </c>
      <c r="N24" s="91">
        <f>[7]Rekapitulace!$H$4*G24*I24</f>
        <v>0</v>
      </c>
      <c r="O24" s="92" t="s">
        <v>48</v>
      </c>
    </row>
    <row r="25" spans="1:15" x14ac:dyDescent="0.2">
      <c r="A25" s="86" t="s">
        <v>224</v>
      </c>
      <c r="B25" s="86" t="s">
        <v>803</v>
      </c>
      <c r="C25" s="86" t="s">
        <v>45</v>
      </c>
      <c r="D25" s="87" t="s">
        <v>806</v>
      </c>
      <c r="E25" s="94" t="s">
        <v>807</v>
      </c>
      <c r="F25" s="87" t="s">
        <v>462</v>
      </c>
      <c r="G25" s="88">
        <v>2</v>
      </c>
      <c r="H25" s="89"/>
      <c r="I25" s="89"/>
      <c r="J25" s="90">
        <f t="shared" si="0"/>
        <v>0</v>
      </c>
      <c r="K25" s="85">
        <v>0</v>
      </c>
      <c r="L25" s="85">
        <v>0</v>
      </c>
      <c r="M25" s="91">
        <f>[7]Rekapitulace!$G$4*G25*H25</f>
        <v>0</v>
      </c>
      <c r="N25" s="91">
        <f>[7]Rekapitulace!$H$4*G25*I25</f>
        <v>0</v>
      </c>
      <c r="O25" s="92" t="s">
        <v>48</v>
      </c>
    </row>
    <row r="26" spans="1:15" x14ac:dyDescent="0.2">
      <c r="A26" s="86" t="s">
        <v>224</v>
      </c>
      <c r="B26" s="86" t="s">
        <v>803</v>
      </c>
      <c r="C26" s="86" t="s">
        <v>45</v>
      </c>
      <c r="D26" s="87" t="s">
        <v>808</v>
      </c>
      <c r="E26" s="87" t="s">
        <v>809</v>
      </c>
      <c r="F26" s="87" t="s">
        <v>462</v>
      </c>
      <c r="G26" s="88">
        <v>6</v>
      </c>
      <c r="H26" s="89"/>
      <c r="I26" s="89"/>
      <c r="J26" s="90">
        <f t="shared" si="0"/>
        <v>0</v>
      </c>
      <c r="K26" s="85">
        <v>0</v>
      </c>
      <c r="L26" s="85">
        <v>0</v>
      </c>
      <c r="M26" s="91">
        <f>[9]Rekapitulace!$G$4*G26*H26</f>
        <v>0</v>
      </c>
      <c r="N26" s="91">
        <f>[9]Rekapitulace!$H$4*G26*I26</f>
        <v>0</v>
      </c>
      <c r="O26" s="92" t="s">
        <v>48</v>
      </c>
    </row>
    <row r="27" spans="1:15" x14ac:dyDescent="0.2">
      <c r="A27" s="86" t="s">
        <v>224</v>
      </c>
      <c r="B27" s="86" t="s">
        <v>803</v>
      </c>
      <c r="C27" s="86" t="s">
        <v>45</v>
      </c>
      <c r="D27" s="87" t="s">
        <v>810</v>
      </c>
      <c r="E27" s="93" t="s">
        <v>811</v>
      </c>
      <c r="F27" s="87" t="s">
        <v>462</v>
      </c>
      <c r="G27" s="88">
        <v>6</v>
      </c>
      <c r="H27" s="89"/>
      <c r="I27" s="89"/>
      <c r="J27" s="90">
        <f t="shared" si="0"/>
        <v>0</v>
      </c>
      <c r="K27" s="85">
        <v>0</v>
      </c>
      <c r="L27" s="85">
        <v>0</v>
      </c>
      <c r="M27" s="91">
        <f>[9]Rekapitulace!$G$4*G27*H27</f>
        <v>0</v>
      </c>
      <c r="N27" s="91">
        <f>[9]Rekapitulace!$H$4*G27*I27</f>
        <v>0</v>
      </c>
      <c r="O27" s="92" t="s">
        <v>48</v>
      </c>
    </row>
    <row r="28" spans="1:15" ht="25.5" x14ac:dyDescent="0.2">
      <c r="A28" s="86" t="s">
        <v>224</v>
      </c>
      <c r="B28" s="86" t="s">
        <v>803</v>
      </c>
      <c r="C28" s="86" t="s">
        <v>45</v>
      </c>
      <c r="D28" s="87" t="s">
        <v>812</v>
      </c>
      <c r="E28" s="93" t="s">
        <v>813</v>
      </c>
      <c r="F28" s="87" t="s">
        <v>462</v>
      </c>
      <c r="G28" s="88">
        <v>6</v>
      </c>
      <c r="H28" s="89"/>
      <c r="I28" s="89"/>
      <c r="J28" s="90">
        <f t="shared" si="0"/>
        <v>0</v>
      </c>
      <c r="K28" s="85">
        <v>0</v>
      </c>
      <c r="L28" s="85">
        <v>0</v>
      </c>
      <c r="M28" s="91">
        <f>[7]Rekapitulace!$G$4*G28*H28</f>
        <v>0</v>
      </c>
      <c r="N28" s="91">
        <f>[7]Rekapitulace!$H$4*G28*I28</f>
        <v>0</v>
      </c>
      <c r="O28" s="92" t="s">
        <v>48</v>
      </c>
    </row>
    <row r="29" spans="1:15" x14ac:dyDescent="0.2">
      <c r="A29" s="86" t="s">
        <v>224</v>
      </c>
      <c r="B29" s="86" t="s">
        <v>803</v>
      </c>
      <c r="C29" s="86" t="s">
        <v>45</v>
      </c>
      <c r="D29" s="87" t="s">
        <v>814</v>
      </c>
      <c r="E29" s="94" t="s">
        <v>815</v>
      </c>
      <c r="F29" s="87" t="s">
        <v>462</v>
      </c>
      <c r="G29" s="88">
        <v>2</v>
      </c>
      <c r="H29" s="89"/>
      <c r="I29" s="89"/>
      <c r="J29" s="90">
        <f t="shared" si="0"/>
        <v>0</v>
      </c>
      <c r="K29" s="85">
        <v>0</v>
      </c>
      <c r="L29" s="85">
        <v>0</v>
      </c>
      <c r="M29" s="91">
        <f>[10]Rekapitulace!$G$4*G29*H29</f>
        <v>0</v>
      </c>
      <c r="N29" s="91">
        <f>[10]Rekapitulace!$H$4*G29*I29</f>
        <v>0</v>
      </c>
      <c r="O29" s="92" t="s">
        <v>48</v>
      </c>
    </row>
    <row r="30" spans="1:15" x14ac:dyDescent="0.2">
      <c r="A30" s="86" t="s">
        <v>224</v>
      </c>
      <c r="B30" s="86" t="s">
        <v>803</v>
      </c>
      <c r="C30" s="86" t="s">
        <v>45</v>
      </c>
      <c r="D30" s="87" t="s">
        <v>816</v>
      </c>
      <c r="E30" s="94" t="s">
        <v>817</v>
      </c>
      <c r="F30" s="87" t="s">
        <v>462</v>
      </c>
      <c r="G30" s="88">
        <v>1</v>
      </c>
      <c r="H30" s="89"/>
      <c r="I30" s="89"/>
      <c r="J30" s="90">
        <f t="shared" si="0"/>
        <v>0</v>
      </c>
      <c r="K30" s="85">
        <v>0</v>
      </c>
      <c r="L30" s="85">
        <v>0</v>
      </c>
      <c r="M30" s="91">
        <f>[10]Rekapitulace!$G$4*G30*H30</f>
        <v>0</v>
      </c>
      <c r="N30" s="91">
        <f>[10]Rekapitulace!$H$4*G30*I30</f>
        <v>0</v>
      </c>
      <c r="O30" s="92" t="s">
        <v>48</v>
      </c>
    </row>
    <row r="31" spans="1:15" x14ac:dyDescent="0.2">
      <c r="A31" s="86" t="s">
        <v>224</v>
      </c>
      <c r="B31" s="86" t="s">
        <v>803</v>
      </c>
      <c r="C31" s="86" t="s">
        <v>45</v>
      </c>
      <c r="D31" s="87" t="s">
        <v>818</v>
      </c>
      <c r="E31" s="93" t="s">
        <v>819</v>
      </c>
      <c r="F31" s="87" t="s">
        <v>462</v>
      </c>
      <c r="G31" s="88">
        <v>3</v>
      </c>
      <c r="H31" s="89"/>
      <c r="I31" s="89"/>
      <c r="J31" s="90">
        <f t="shared" si="0"/>
        <v>0</v>
      </c>
      <c r="K31" s="85">
        <v>0</v>
      </c>
      <c r="L31" s="85">
        <v>0</v>
      </c>
      <c r="M31" s="91">
        <f>[9]Rekapitulace!$G$4*G31*H31</f>
        <v>0</v>
      </c>
      <c r="N31" s="91">
        <f>[9]Rekapitulace!$H$4*G31*I31</f>
        <v>0</v>
      </c>
      <c r="O31" s="92" t="s">
        <v>48</v>
      </c>
    </row>
    <row r="32" spans="1:15" x14ac:dyDescent="0.2">
      <c r="A32" s="79" t="s">
        <v>764</v>
      </c>
      <c r="B32" s="79" t="s">
        <v>765</v>
      </c>
      <c r="C32" s="79"/>
      <c r="D32" s="87"/>
      <c r="E32" s="81" t="s">
        <v>820</v>
      </c>
      <c r="F32" s="80"/>
      <c r="G32" s="82">
        <v>0</v>
      </c>
      <c r="H32" s="83"/>
      <c r="I32" s="83"/>
      <c r="J32" s="84">
        <f t="shared" si="0"/>
        <v>0</v>
      </c>
      <c r="K32" s="85"/>
      <c r="L32" s="85"/>
      <c r="M32" s="83">
        <f>[2]Rekapitulace!$G$4*G32*H32</f>
        <v>0</v>
      </c>
      <c r="N32" s="83">
        <f>[2]Rekapitulace!$H$4*G32*I32</f>
        <v>0</v>
      </c>
      <c r="O32" s="80" t="s">
        <v>48</v>
      </c>
    </row>
    <row r="33" spans="1:15" x14ac:dyDescent="0.2">
      <c r="A33" s="86" t="s">
        <v>224</v>
      </c>
      <c r="B33" s="86" t="s">
        <v>803</v>
      </c>
      <c r="C33" s="86" t="s">
        <v>45</v>
      </c>
      <c r="D33" s="87" t="s">
        <v>821</v>
      </c>
      <c r="E33" s="93" t="s">
        <v>822</v>
      </c>
      <c r="F33" s="87" t="s">
        <v>190</v>
      </c>
      <c r="G33" s="88">
        <v>13</v>
      </c>
      <c r="H33" s="89"/>
      <c r="I33" s="89"/>
      <c r="J33" s="90">
        <f t="shared" si="0"/>
        <v>0</v>
      </c>
      <c r="K33" s="85">
        <v>0</v>
      </c>
      <c r="L33" s="85">
        <v>0</v>
      </c>
      <c r="M33" s="91">
        <f>[11]Rekapitulace!$G$4*G33*H33</f>
        <v>0</v>
      </c>
      <c r="N33" s="91">
        <f>[11]Rekapitulace!$H$4*G33*I33</f>
        <v>0</v>
      </c>
      <c r="O33" s="92" t="s">
        <v>48</v>
      </c>
    </row>
    <row r="34" spans="1:15" x14ac:dyDescent="0.2">
      <c r="A34" s="86" t="s">
        <v>224</v>
      </c>
      <c r="B34" s="86" t="s">
        <v>803</v>
      </c>
      <c r="C34" s="86" t="s">
        <v>45</v>
      </c>
      <c r="D34" s="87" t="s">
        <v>823</v>
      </c>
      <c r="E34" s="93" t="s">
        <v>824</v>
      </c>
      <c r="F34" s="87" t="s">
        <v>190</v>
      </c>
      <c r="G34" s="88">
        <v>20</v>
      </c>
      <c r="H34" s="89"/>
      <c r="I34" s="89"/>
      <c r="J34" s="90">
        <f t="shared" si="0"/>
        <v>0</v>
      </c>
      <c r="K34" s="85">
        <v>0</v>
      </c>
      <c r="L34" s="85">
        <v>0</v>
      </c>
      <c r="M34" s="91">
        <f>[12]Rekapitulace!$G$4*G34*H34</f>
        <v>0</v>
      </c>
      <c r="N34" s="91">
        <f>[12]Rekapitulace!$H$4*G34*I34</f>
        <v>0</v>
      </c>
      <c r="O34" s="92" t="s">
        <v>48</v>
      </c>
    </row>
    <row r="35" spans="1:15" x14ac:dyDescent="0.2">
      <c r="A35" s="86" t="s">
        <v>224</v>
      </c>
      <c r="B35" s="86" t="s">
        <v>803</v>
      </c>
      <c r="C35" s="86" t="s">
        <v>45</v>
      </c>
      <c r="D35" s="87" t="s">
        <v>825</v>
      </c>
      <c r="E35" s="93" t="s">
        <v>826</v>
      </c>
      <c r="F35" s="87" t="s">
        <v>190</v>
      </c>
      <c r="G35" s="88">
        <v>15</v>
      </c>
      <c r="H35" s="89"/>
      <c r="I35" s="89"/>
      <c r="J35" s="90">
        <f t="shared" si="0"/>
        <v>0</v>
      </c>
      <c r="K35" s="85">
        <v>0</v>
      </c>
      <c r="L35" s="85">
        <v>0</v>
      </c>
      <c r="M35" s="91">
        <f>[12]Rekapitulace!$G$4*G35*H35</f>
        <v>0</v>
      </c>
      <c r="N35" s="91">
        <f>[12]Rekapitulace!$H$4*G35*I35</f>
        <v>0</v>
      </c>
      <c r="O35" s="92" t="s">
        <v>48</v>
      </c>
    </row>
    <row r="36" spans="1:15" x14ac:dyDescent="0.2">
      <c r="A36" s="86" t="s">
        <v>224</v>
      </c>
      <c r="B36" s="86" t="s">
        <v>803</v>
      </c>
      <c r="C36" s="86" t="s">
        <v>45</v>
      </c>
      <c r="D36" s="87" t="s">
        <v>827</v>
      </c>
      <c r="E36" s="93" t="s">
        <v>828</v>
      </c>
      <c r="F36" s="87" t="s">
        <v>190</v>
      </c>
      <c r="G36" s="88">
        <v>21</v>
      </c>
      <c r="H36" s="89"/>
      <c r="I36" s="89"/>
      <c r="J36" s="90">
        <f t="shared" si="0"/>
        <v>0</v>
      </c>
      <c r="K36" s="85">
        <v>0</v>
      </c>
      <c r="L36" s="85">
        <v>0</v>
      </c>
      <c r="M36" s="91">
        <f>[12]Rekapitulace!$G$4*G36*H36</f>
        <v>0</v>
      </c>
      <c r="N36" s="91">
        <f>[12]Rekapitulace!$H$4*G36*I36</f>
        <v>0</v>
      </c>
      <c r="O36" s="92" t="s">
        <v>48</v>
      </c>
    </row>
    <row r="37" spans="1:15" ht="25.5" x14ac:dyDescent="0.2">
      <c r="A37" s="86" t="s">
        <v>224</v>
      </c>
      <c r="B37" s="86" t="s">
        <v>803</v>
      </c>
      <c r="C37" s="86" t="s">
        <v>45</v>
      </c>
      <c r="D37" s="87" t="s">
        <v>829</v>
      </c>
      <c r="E37" s="93" t="s">
        <v>830</v>
      </c>
      <c r="F37" s="87" t="s">
        <v>190</v>
      </c>
      <c r="G37" s="88">
        <v>13</v>
      </c>
      <c r="H37" s="89"/>
      <c r="I37" s="89"/>
      <c r="J37" s="90">
        <f t="shared" si="0"/>
        <v>0</v>
      </c>
      <c r="K37" s="85">
        <v>0</v>
      </c>
      <c r="L37" s="85">
        <v>0</v>
      </c>
      <c r="M37" s="91">
        <f>[13]Rekapitulace!$G$4*G37*H37</f>
        <v>0</v>
      </c>
      <c r="N37" s="91">
        <f>[13]Rekapitulace!$H$4*G37*I37</f>
        <v>0</v>
      </c>
      <c r="O37" s="92" t="s">
        <v>48</v>
      </c>
    </row>
    <row r="38" spans="1:15" ht="25.5" x14ac:dyDescent="0.2">
      <c r="A38" s="86" t="s">
        <v>224</v>
      </c>
      <c r="B38" s="86" t="s">
        <v>803</v>
      </c>
      <c r="C38" s="86" t="s">
        <v>45</v>
      </c>
      <c r="D38" s="87" t="s">
        <v>831</v>
      </c>
      <c r="E38" s="93" t="s">
        <v>832</v>
      </c>
      <c r="F38" s="87" t="s">
        <v>190</v>
      </c>
      <c r="G38" s="88">
        <v>20</v>
      </c>
      <c r="H38" s="89"/>
      <c r="I38" s="89"/>
      <c r="J38" s="90">
        <f t="shared" si="0"/>
        <v>0</v>
      </c>
      <c r="K38" s="85">
        <v>0</v>
      </c>
      <c r="L38" s="85">
        <v>0</v>
      </c>
      <c r="M38" s="91">
        <f>[12]Rekapitulace!$G$4*G38*H38</f>
        <v>0</v>
      </c>
      <c r="N38" s="91">
        <f>[12]Rekapitulace!$H$4*G38*I38</f>
        <v>0</v>
      </c>
      <c r="O38" s="92" t="s">
        <v>48</v>
      </c>
    </row>
    <row r="39" spans="1:15" ht="25.5" x14ac:dyDescent="0.2">
      <c r="A39" s="86" t="s">
        <v>224</v>
      </c>
      <c r="B39" s="86" t="s">
        <v>803</v>
      </c>
      <c r="C39" s="86" t="s">
        <v>45</v>
      </c>
      <c r="D39" s="87" t="s">
        <v>833</v>
      </c>
      <c r="E39" s="93" t="s">
        <v>834</v>
      </c>
      <c r="F39" s="87" t="s">
        <v>190</v>
      </c>
      <c r="G39" s="88">
        <v>15</v>
      </c>
      <c r="H39" s="89"/>
      <c r="I39" s="89"/>
      <c r="J39" s="90">
        <f t="shared" si="0"/>
        <v>0</v>
      </c>
      <c r="K39" s="85">
        <v>0</v>
      </c>
      <c r="L39" s="85">
        <v>0</v>
      </c>
      <c r="M39" s="91">
        <f>[12]Rekapitulace!$G$4*G39*H39</f>
        <v>0</v>
      </c>
      <c r="N39" s="91">
        <f>[12]Rekapitulace!$H$4*G39*I39</f>
        <v>0</v>
      </c>
      <c r="O39" s="92" t="s">
        <v>48</v>
      </c>
    </row>
    <row r="40" spans="1:15" ht="38.25" x14ac:dyDescent="0.2">
      <c r="A40" s="86" t="s">
        <v>224</v>
      </c>
      <c r="B40" s="86" t="s">
        <v>803</v>
      </c>
      <c r="C40" s="86" t="s">
        <v>45</v>
      </c>
      <c r="D40" s="87" t="s">
        <v>835</v>
      </c>
      <c r="E40" s="94" t="s">
        <v>836</v>
      </c>
      <c r="F40" s="87" t="s">
        <v>837</v>
      </c>
      <c r="G40" s="88">
        <v>1</v>
      </c>
      <c r="H40" s="89"/>
      <c r="I40" s="89"/>
      <c r="J40" s="90">
        <f t="shared" si="0"/>
        <v>0</v>
      </c>
      <c r="K40" s="85"/>
      <c r="L40" s="85">
        <v>0</v>
      </c>
      <c r="M40" s="91">
        <f>[13]Rekapitulace!$G$4*G40*H40</f>
        <v>0</v>
      </c>
      <c r="N40" s="91">
        <f>[13]Rekapitulace!$H$4*G40*I40</f>
        <v>0</v>
      </c>
      <c r="O40" s="92" t="s">
        <v>48</v>
      </c>
    </row>
    <row r="41" spans="1:15" ht="25.5" x14ac:dyDescent="0.2">
      <c r="A41" s="86" t="s">
        <v>224</v>
      </c>
      <c r="B41" s="86" t="s">
        <v>803</v>
      </c>
      <c r="C41" s="86" t="s">
        <v>45</v>
      </c>
      <c r="D41" s="87" t="s">
        <v>838</v>
      </c>
      <c r="E41" s="93" t="s">
        <v>839</v>
      </c>
      <c r="F41" s="87" t="s">
        <v>840</v>
      </c>
      <c r="G41" s="88">
        <v>8</v>
      </c>
      <c r="H41" s="89"/>
      <c r="I41" s="89"/>
      <c r="J41" s="90">
        <f t="shared" si="0"/>
        <v>0</v>
      </c>
      <c r="K41" s="85">
        <v>0</v>
      </c>
      <c r="L41" s="85">
        <v>0</v>
      </c>
      <c r="M41" s="91">
        <f>[14]Rekapitulace!$G$4*G41*H41</f>
        <v>0</v>
      </c>
      <c r="N41" s="91">
        <f>[14]Rekapitulace!$H$4*G41*I41</f>
        <v>0</v>
      </c>
      <c r="O41" s="92" t="s">
        <v>48</v>
      </c>
    </row>
    <row r="42" spans="1:15" ht="51" x14ac:dyDescent="0.2">
      <c r="A42" s="86" t="s">
        <v>224</v>
      </c>
      <c r="B42" s="86" t="s">
        <v>803</v>
      </c>
      <c r="C42" s="86" t="s">
        <v>45</v>
      </c>
      <c r="D42" s="87" t="s">
        <v>841</v>
      </c>
      <c r="E42" s="94" t="s">
        <v>842</v>
      </c>
      <c r="F42" s="87" t="s">
        <v>776</v>
      </c>
      <c r="G42" s="88">
        <v>80</v>
      </c>
      <c r="H42" s="89"/>
      <c r="I42" s="89"/>
      <c r="J42" s="90">
        <f t="shared" si="0"/>
        <v>0</v>
      </c>
      <c r="K42" s="85"/>
      <c r="L42" s="85">
        <v>0</v>
      </c>
      <c r="M42" s="91">
        <f>[7]Rekapitulace!$G$4*G42*H42</f>
        <v>0</v>
      </c>
      <c r="N42" s="91">
        <f>[7]Rekapitulace!$H$4*G42*I42</f>
        <v>0</v>
      </c>
      <c r="O42" s="92" t="s">
        <v>48</v>
      </c>
    </row>
    <row r="43" spans="1:15" x14ac:dyDescent="0.2">
      <c r="A43" s="86" t="s">
        <v>224</v>
      </c>
      <c r="B43" s="86" t="s">
        <v>803</v>
      </c>
      <c r="C43" s="86" t="s">
        <v>45</v>
      </c>
      <c r="D43" s="87" t="s">
        <v>843</v>
      </c>
      <c r="E43" s="93" t="s">
        <v>844</v>
      </c>
      <c r="F43" s="87" t="s">
        <v>462</v>
      </c>
      <c r="G43" s="88">
        <v>10</v>
      </c>
      <c r="H43" s="89"/>
      <c r="I43" s="89"/>
      <c r="J43" s="90">
        <f t="shared" si="0"/>
        <v>0</v>
      </c>
      <c r="K43" s="85">
        <v>0</v>
      </c>
      <c r="L43" s="85"/>
      <c r="M43" s="91">
        <f>[13]Rekapitulace!$G$4*G43*H43</f>
        <v>0</v>
      </c>
      <c r="N43" s="91">
        <f>[13]Rekapitulace!$H$4*G43*I43</f>
        <v>0</v>
      </c>
      <c r="O43" s="92" t="s">
        <v>48</v>
      </c>
    </row>
    <row r="44" spans="1:15" x14ac:dyDescent="0.2">
      <c r="A44" s="86"/>
      <c r="B44" s="86"/>
      <c r="C44" s="86"/>
      <c r="D44" s="95"/>
      <c r="E44" s="94"/>
      <c r="F44" s="97" t="s">
        <v>845</v>
      </c>
      <c r="G44" s="88"/>
      <c r="H44" s="89"/>
      <c r="I44" s="83"/>
      <c r="J44" s="90">
        <f>SUM(J24:J43)</f>
        <v>0</v>
      </c>
      <c r="K44" s="85">
        <v>0</v>
      </c>
      <c r="L44" s="85">
        <v>0</v>
      </c>
      <c r="M44" s="91">
        <f>[12]Rekapitulace!$G$4*G44*H44</f>
        <v>0</v>
      </c>
      <c r="N44" s="91">
        <f>[12]Rekapitulace!$H$4*G44*I44</f>
        <v>0</v>
      </c>
      <c r="O44" s="92" t="s">
        <v>48</v>
      </c>
    </row>
    <row r="46" spans="1:15" x14ac:dyDescent="0.2">
      <c r="F46" s="97" t="s">
        <v>719</v>
      </c>
      <c r="G46" s="97"/>
      <c r="H46" s="98"/>
      <c r="I46" s="97"/>
      <c r="J46" s="99">
        <f>J22+J44</f>
        <v>0</v>
      </c>
      <c r="K46" s="100"/>
    </row>
    <row r="50" spans="12:12" x14ac:dyDescent="0.2">
      <c r="L50" s="100"/>
    </row>
  </sheetData>
  <pageMargins left="0.74803149606299213" right="0.74803149606299213" top="0.70866141732283472" bottom="0.70866141732283472" header="0.51181102362204722" footer="0.51181102362204722"/>
  <pageSetup paperSize="9" scale="80" orientation="landscape" r:id="rId1"/>
  <headerFooter alignWithMargins="0">
    <oddHeader>&amp;A</oddHeader>
    <oddFooter>Page 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Krycí list rozpočtu</vt:lpstr>
      <vt:lpstr>VORN</vt:lpstr>
      <vt:lpstr>Stavební rozpočet</vt:lpstr>
      <vt:lpstr>topení</vt:lpstr>
      <vt:lpstr>topení!Oblast_tisku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Svobodová Blanka Ing.</cp:lastModifiedBy>
  <dcterms:created xsi:type="dcterms:W3CDTF">2021-06-10T20:06:38Z</dcterms:created>
  <dcterms:modified xsi:type="dcterms:W3CDTF">2026-03-04T10:27:03Z</dcterms:modified>
</cp:coreProperties>
</file>