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25725"/>
  <fileRecoveryPr repairLoad="1"/>
</workbook>
</file>

<file path=xl/calcChain.xml><?xml version="1.0" encoding="utf-8"?>
<calcChain xmlns="http://schemas.openxmlformats.org/spreadsheetml/2006/main">
  <c r="I36" i="3"/>
  <c r="I24" i="2" s="1"/>
  <c r="I35" i="3"/>
  <c r="I26"/>
  <c r="I25"/>
  <c r="I24"/>
  <c r="I23"/>
  <c r="I22"/>
  <c r="I15" i="2" s="1"/>
  <c r="I21" i="3"/>
  <c r="I27" s="1"/>
  <c r="I18"/>
  <c r="F29" s="1"/>
  <c r="I17"/>
  <c r="I16"/>
  <c r="I15"/>
  <c r="I10"/>
  <c r="F10"/>
  <c r="C10"/>
  <c r="F8"/>
  <c r="C8"/>
  <c r="F6"/>
  <c r="C6"/>
  <c r="F4"/>
  <c r="C4"/>
  <c r="F2"/>
  <c r="C2"/>
  <c r="I19" i="2"/>
  <c r="I18"/>
  <c r="I17"/>
  <c r="I16"/>
  <c r="F16"/>
  <c r="F15"/>
  <c r="F14"/>
  <c r="I10"/>
  <c r="F10"/>
  <c r="C10"/>
  <c r="F8"/>
  <c r="C8"/>
  <c r="F6"/>
  <c r="C6"/>
  <c r="F4"/>
  <c r="C4"/>
  <c r="F2"/>
  <c r="C2"/>
  <c r="BJ324" i="1"/>
  <c r="BF324"/>
  <c r="BD324"/>
  <c r="AW324"/>
  <c r="AV324"/>
  <c r="AP324"/>
  <c r="AX324" s="1"/>
  <c r="AO324"/>
  <c r="BH324" s="1"/>
  <c r="AB324" s="1"/>
  <c r="AK324"/>
  <c r="AJ324"/>
  <c r="AH324"/>
  <c r="AG324"/>
  <c r="AF324"/>
  <c r="AE324"/>
  <c r="AD324"/>
  <c r="Z324"/>
  <c r="J324"/>
  <c r="AL324" s="1"/>
  <c r="H324"/>
  <c r="BJ323"/>
  <c r="BF323"/>
  <c r="BD323"/>
  <c r="AX323"/>
  <c r="AW323"/>
  <c r="AP323"/>
  <c r="BI323" s="1"/>
  <c r="AC323" s="1"/>
  <c r="AO323"/>
  <c r="BH323" s="1"/>
  <c r="AB323" s="1"/>
  <c r="AK323"/>
  <c r="AJ323"/>
  <c r="AH323"/>
  <c r="AG323"/>
  <c r="AF323"/>
  <c r="AE323"/>
  <c r="AD323"/>
  <c r="Z323"/>
  <c r="J323"/>
  <c r="AL323" s="1"/>
  <c r="I323"/>
  <c r="H323"/>
  <c r="H321" s="1"/>
  <c r="BJ322"/>
  <c r="BF322"/>
  <c r="BD322"/>
  <c r="AX322"/>
  <c r="AW322"/>
  <c r="BC322" s="1"/>
  <c r="AP322"/>
  <c r="BI322" s="1"/>
  <c r="AC322" s="1"/>
  <c r="AO322"/>
  <c r="BH322" s="1"/>
  <c r="AB322" s="1"/>
  <c r="AK322"/>
  <c r="AJ322"/>
  <c r="AS321" s="1"/>
  <c r="AH322"/>
  <c r="AG322"/>
  <c r="AF322"/>
  <c r="AE322"/>
  <c r="AD322"/>
  <c r="Z322"/>
  <c r="J322"/>
  <c r="I322"/>
  <c r="H322"/>
  <c r="AT321"/>
  <c r="BJ319"/>
  <c r="Z319" s="1"/>
  <c r="BF319"/>
  <c r="BD319"/>
  <c r="AX319"/>
  <c r="AW319"/>
  <c r="AP319"/>
  <c r="BI319" s="1"/>
  <c r="AO319"/>
  <c r="BH319" s="1"/>
  <c r="AK319"/>
  <c r="AJ319"/>
  <c r="AH319"/>
  <c r="AG319"/>
  <c r="AF319"/>
  <c r="AE319"/>
  <c r="AD319"/>
  <c r="AC319"/>
  <c r="AB319"/>
  <c r="J319"/>
  <c r="AL319" s="1"/>
  <c r="AU306" s="1"/>
  <c r="I319"/>
  <c r="H319"/>
  <c r="BJ317"/>
  <c r="BF317"/>
  <c r="BD317"/>
  <c r="AX317"/>
  <c r="AW317"/>
  <c r="AV317" s="1"/>
  <c r="AP317"/>
  <c r="BI317" s="1"/>
  <c r="AO317"/>
  <c r="BH317" s="1"/>
  <c r="AK317"/>
  <c r="AJ317"/>
  <c r="AH317"/>
  <c r="AG317"/>
  <c r="AF317"/>
  <c r="AE317"/>
  <c r="AD317"/>
  <c r="AC317"/>
  <c r="AB317"/>
  <c r="Z317"/>
  <c r="J317"/>
  <c r="AL317" s="1"/>
  <c r="I317"/>
  <c r="H317"/>
  <c r="BJ315"/>
  <c r="BF315"/>
  <c r="BD315"/>
  <c r="BC315"/>
  <c r="AX315"/>
  <c r="AW315"/>
  <c r="AV315" s="1"/>
  <c r="AP315"/>
  <c r="BI315" s="1"/>
  <c r="AO315"/>
  <c r="BH315" s="1"/>
  <c r="AK315"/>
  <c r="AT306" s="1"/>
  <c r="AJ315"/>
  <c r="AH315"/>
  <c r="AG315"/>
  <c r="AF315"/>
  <c r="AE315"/>
  <c r="AD315"/>
  <c r="AC315"/>
  <c r="AB315"/>
  <c r="Z315"/>
  <c r="J315"/>
  <c r="AL315" s="1"/>
  <c r="I315"/>
  <c r="BJ313"/>
  <c r="BF313"/>
  <c r="BD313"/>
  <c r="AX313"/>
  <c r="AP313"/>
  <c r="BI313" s="1"/>
  <c r="AO313"/>
  <c r="BH313" s="1"/>
  <c r="AL313"/>
  <c r="AK313"/>
  <c r="AJ313"/>
  <c r="AH313"/>
  <c r="AG313"/>
  <c r="AF313"/>
  <c r="AE313"/>
  <c r="AD313"/>
  <c r="AC313"/>
  <c r="AB313"/>
  <c r="Z313"/>
  <c r="J313"/>
  <c r="H313"/>
  <c r="BJ311"/>
  <c r="BH311"/>
  <c r="BF311"/>
  <c r="BD311"/>
  <c r="AP311"/>
  <c r="BI311" s="1"/>
  <c r="AO311"/>
  <c r="AL311"/>
  <c r="AK311"/>
  <c r="AJ311"/>
  <c r="AH311"/>
  <c r="AG311"/>
  <c r="AF311"/>
  <c r="AE311"/>
  <c r="AD311"/>
  <c r="AC311"/>
  <c r="AB311"/>
  <c r="Z311"/>
  <c r="J311"/>
  <c r="I311"/>
  <c r="BJ309"/>
  <c r="Z309" s="1"/>
  <c r="BF309"/>
  <c r="BD309"/>
  <c r="AP309"/>
  <c r="AO309"/>
  <c r="AL309"/>
  <c r="AK309"/>
  <c r="AJ309"/>
  <c r="AH309"/>
  <c r="AG309"/>
  <c r="AF309"/>
  <c r="AE309"/>
  <c r="AD309"/>
  <c r="AC309"/>
  <c r="AB309"/>
  <c r="J309"/>
  <c r="BJ307"/>
  <c r="Z307" s="1"/>
  <c r="BH307"/>
  <c r="BF307"/>
  <c r="BD307"/>
  <c r="AP307"/>
  <c r="AO307"/>
  <c r="AW307" s="1"/>
  <c r="AL307"/>
  <c r="AK307"/>
  <c r="AJ307"/>
  <c r="AH307"/>
  <c r="AG307"/>
  <c r="AF307"/>
  <c r="AE307"/>
  <c r="AD307"/>
  <c r="AC307"/>
  <c r="AB307"/>
  <c r="J307"/>
  <c r="H307"/>
  <c r="BJ304"/>
  <c r="BF304"/>
  <c r="BD304"/>
  <c r="AP304"/>
  <c r="AO304"/>
  <c r="AL304"/>
  <c r="AU303" s="1"/>
  <c r="AK304"/>
  <c r="AJ304"/>
  <c r="AH304"/>
  <c r="AE304"/>
  <c r="AD304"/>
  <c r="AC304"/>
  <c r="AB304"/>
  <c r="Z304"/>
  <c r="J304"/>
  <c r="AT303"/>
  <c r="AS303"/>
  <c r="J303"/>
  <c r="BJ302"/>
  <c r="BH302"/>
  <c r="AB302" s="1"/>
  <c r="BF302"/>
  <c r="BD302"/>
  <c r="AP302"/>
  <c r="BI302" s="1"/>
  <c r="AO302"/>
  <c r="AL302"/>
  <c r="AK302"/>
  <c r="AJ302"/>
  <c r="AH302"/>
  <c r="AG302"/>
  <c r="AF302"/>
  <c r="AE302"/>
  <c r="AD302"/>
  <c r="AC302"/>
  <c r="Z302"/>
  <c r="J302"/>
  <c r="I302"/>
  <c r="BJ301"/>
  <c r="BF301"/>
  <c r="BD301"/>
  <c r="AP301"/>
  <c r="AO301"/>
  <c r="AL301"/>
  <c r="AK301"/>
  <c r="AJ301"/>
  <c r="AH301"/>
  <c r="AG301"/>
  <c r="AF301"/>
  <c r="AE301"/>
  <c r="AD301"/>
  <c r="Z301"/>
  <c r="J301"/>
  <c r="BJ298"/>
  <c r="BH298"/>
  <c r="BF298"/>
  <c r="BD298"/>
  <c r="AP298"/>
  <c r="AO298"/>
  <c r="AW298" s="1"/>
  <c r="AL298"/>
  <c r="AK298"/>
  <c r="AJ298"/>
  <c r="AH298"/>
  <c r="AF298"/>
  <c r="AE298"/>
  <c r="AD298"/>
  <c r="AC298"/>
  <c r="AB298"/>
  <c r="Z298"/>
  <c r="J298"/>
  <c r="J297" s="1"/>
  <c r="H298"/>
  <c r="AU297"/>
  <c r="AT297"/>
  <c r="AS297"/>
  <c r="BJ295"/>
  <c r="BF295"/>
  <c r="BD295"/>
  <c r="AP295"/>
  <c r="AO295"/>
  <c r="AL295"/>
  <c r="AU294" s="1"/>
  <c r="AK295"/>
  <c r="AJ295"/>
  <c r="AH295"/>
  <c r="AG295"/>
  <c r="AF295"/>
  <c r="AE295"/>
  <c r="AD295"/>
  <c r="AC295"/>
  <c r="AB295"/>
  <c r="Z295"/>
  <c r="J295"/>
  <c r="AT294"/>
  <c r="AS294"/>
  <c r="J294"/>
  <c r="BJ292"/>
  <c r="BF292"/>
  <c r="BD292"/>
  <c r="AP292"/>
  <c r="BI292" s="1"/>
  <c r="AO292"/>
  <c r="BH292" s="1"/>
  <c r="AL292"/>
  <c r="AU291" s="1"/>
  <c r="AK292"/>
  <c r="AT291" s="1"/>
  <c r="AJ292"/>
  <c r="AH292"/>
  <c r="AG292"/>
  <c r="AF292"/>
  <c r="AE292"/>
  <c r="AD292"/>
  <c r="AC292"/>
  <c r="AB292"/>
  <c r="Z292"/>
  <c r="J292"/>
  <c r="I292"/>
  <c r="AS291"/>
  <c r="J291"/>
  <c r="I291"/>
  <c r="BJ289"/>
  <c r="BF289"/>
  <c r="BD289"/>
  <c r="AX289"/>
  <c r="AP289"/>
  <c r="BI289" s="1"/>
  <c r="AO289"/>
  <c r="BH289" s="1"/>
  <c r="AL289"/>
  <c r="AU288" s="1"/>
  <c r="AK289"/>
  <c r="AT288" s="1"/>
  <c r="AJ289"/>
  <c r="AS288" s="1"/>
  <c r="AH289"/>
  <c r="AG289"/>
  <c r="AF289"/>
  <c r="AE289"/>
  <c r="AD289"/>
  <c r="AC289"/>
  <c r="AB289"/>
  <c r="Z289"/>
  <c r="J289"/>
  <c r="H289"/>
  <c r="J288"/>
  <c r="H288"/>
  <c r="BJ282"/>
  <c r="BF282"/>
  <c r="BD282"/>
  <c r="BC282"/>
  <c r="AX282"/>
  <c r="AW282"/>
  <c r="AP282"/>
  <c r="BI282" s="1"/>
  <c r="AC282" s="1"/>
  <c r="AO282"/>
  <c r="BH282" s="1"/>
  <c r="AK282"/>
  <c r="AT281" s="1"/>
  <c r="AJ282"/>
  <c r="AS281" s="1"/>
  <c r="AH282"/>
  <c r="AG282"/>
  <c r="AF282"/>
  <c r="AE282"/>
  <c r="AD282"/>
  <c r="AB282"/>
  <c r="Z282"/>
  <c r="J282"/>
  <c r="AL282" s="1"/>
  <c r="AU281" s="1"/>
  <c r="I282"/>
  <c r="J281"/>
  <c r="I281"/>
  <c r="BJ278"/>
  <c r="BF278"/>
  <c r="BD278"/>
  <c r="AX278"/>
  <c r="AW278"/>
  <c r="AV278" s="1"/>
  <c r="AP278"/>
  <c r="BI278" s="1"/>
  <c r="AC278" s="1"/>
  <c r="AO278"/>
  <c r="BH278" s="1"/>
  <c r="AB278" s="1"/>
  <c r="AK278"/>
  <c r="AJ278"/>
  <c r="AS277" s="1"/>
  <c r="AH278"/>
  <c r="AG278"/>
  <c r="AF278"/>
  <c r="AE278"/>
  <c r="AD278"/>
  <c r="Z278"/>
  <c r="J278"/>
  <c r="I278"/>
  <c r="I277" s="1"/>
  <c r="H278"/>
  <c r="AT277"/>
  <c r="H277"/>
  <c r="BJ275"/>
  <c r="BF275"/>
  <c r="BD275"/>
  <c r="AX275"/>
  <c r="AW275"/>
  <c r="AV275" s="1"/>
  <c r="AP275"/>
  <c r="BI275" s="1"/>
  <c r="AC275" s="1"/>
  <c r="AO275"/>
  <c r="BH275" s="1"/>
  <c r="AB275" s="1"/>
  <c r="AK275"/>
  <c r="AT274" s="1"/>
  <c r="AJ275"/>
  <c r="AH275"/>
  <c r="AG275"/>
  <c r="AF275"/>
  <c r="AE275"/>
  <c r="AD275"/>
  <c r="Z275"/>
  <c r="J275"/>
  <c r="I275"/>
  <c r="I274" s="1"/>
  <c r="H275"/>
  <c r="H274" s="1"/>
  <c r="AS274"/>
  <c r="BJ272"/>
  <c r="BF272"/>
  <c r="BD272"/>
  <c r="AW272"/>
  <c r="AV272"/>
  <c r="AP272"/>
  <c r="AX272" s="1"/>
  <c r="AO272"/>
  <c r="BH272" s="1"/>
  <c r="AB272" s="1"/>
  <c r="AK272"/>
  <c r="AJ272"/>
  <c r="AH272"/>
  <c r="AG272"/>
  <c r="AF272"/>
  <c r="AE272"/>
  <c r="AD272"/>
  <c r="Z272"/>
  <c r="J272"/>
  <c r="AL272" s="1"/>
  <c r="H272"/>
  <c r="BJ270"/>
  <c r="BF270"/>
  <c r="BD270"/>
  <c r="AX270"/>
  <c r="AW270"/>
  <c r="AV270" s="1"/>
  <c r="AP270"/>
  <c r="BI270" s="1"/>
  <c r="AC270" s="1"/>
  <c r="AO270"/>
  <c r="BH270" s="1"/>
  <c r="AB270" s="1"/>
  <c r="AK270"/>
  <c r="AJ270"/>
  <c r="AH270"/>
  <c r="AG270"/>
  <c r="AF270"/>
  <c r="AE270"/>
  <c r="AD270"/>
  <c r="Z270"/>
  <c r="J270"/>
  <c r="AL270" s="1"/>
  <c r="I270"/>
  <c r="H270"/>
  <c r="H267" s="1"/>
  <c r="BJ268"/>
  <c r="BF268"/>
  <c r="BD268"/>
  <c r="AX268"/>
  <c r="AW268"/>
  <c r="BC268" s="1"/>
  <c r="AP268"/>
  <c r="BI268" s="1"/>
  <c r="AC268" s="1"/>
  <c r="AO268"/>
  <c r="BH268" s="1"/>
  <c r="AB268" s="1"/>
  <c r="AK268"/>
  <c r="AJ268"/>
  <c r="AS267" s="1"/>
  <c r="AH268"/>
  <c r="AG268"/>
  <c r="AF268"/>
  <c r="AE268"/>
  <c r="AD268"/>
  <c r="Z268"/>
  <c r="J268"/>
  <c r="I268"/>
  <c r="H268"/>
  <c r="AT267"/>
  <c r="BJ265"/>
  <c r="BF265"/>
  <c r="BD265"/>
  <c r="AX265"/>
  <c r="AW265"/>
  <c r="AP265"/>
  <c r="BI265" s="1"/>
  <c r="AC265" s="1"/>
  <c r="AO265"/>
  <c r="BH265" s="1"/>
  <c r="AB265" s="1"/>
  <c r="AK265"/>
  <c r="AJ265"/>
  <c r="AH265"/>
  <c r="AG265"/>
  <c r="AF265"/>
  <c r="AE265"/>
  <c r="AD265"/>
  <c r="Z265"/>
  <c r="J265"/>
  <c r="AL265" s="1"/>
  <c r="I265"/>
  <c r="H265"/>
  <c r="H262" s="1"/>
  <c r="BJ263"/>
  <c r="BF263"/>
  <c r="BD263"/>
  <c r="BC263"/>
  <c r="AX263"/>
  <c r="AW263"/>
  <c r="AP263"/>
  <c r="BI263" s="1"/>
  <c r="AC263" s="1"/>
  <c r="AO263"/>
  <c r="BH263" s="1"/>
  <c r="AB263" s="1"/>
  <c r="AK263"/>
  <c r="AJ263"/>
  <c r="AS262" s="1"/>
  <c r="AH263"/>
  <c r="AG263"/>
  <c r="AF263"/>
  <c r="AE263"/>
  <c r="AD263"/>
  <c r="Z263"/>
  <c r="J263"/>
  <c r="I263"/>
  <c r="I262" s="1"/>
  <c r="H263"/>
  <c r="AT262"/>
  <c r="BJ260"/>
  <c r="BF260"/>
  <c r="BD260"/>
  <c r="AX260"/>
  <c r="AW260"/>
  <c r="AV260"/>
  <c r="AP260"/>
  <c r="BI260" s="1"/>
  <c r="AC260" s="1"/>
  <c r="AO260"/>
  <c r="BH260" s="1"/>
  <c r="AB260" s="1"/>
  <c r="AK260"/>
  <c r="AJ260"/>
  <c r="AH260"/>
  <c r="AG260"/>
  <c r="AF260"/>
  <c r="AE260"/>
  <c r="AD260"/>
  <c r="Z260"/>
  <c r="J260"/>
  <c r="AL260" s="1"/>
  <c r="I260"/>
  <c r="H260"/>
  <c r="BJ258"/>
  <c r="BF258"/>
  <c r="BD258"/>
  <c r="AX258"/>
  <c r="AW258"/>
  <c r="AV258" s="1"/>
  <c r="AP258"/>
  <c r="BI258" s="1"/>
  <c r="AC258" s="1"/>
  <c r="AO258"/>
  <c r="BH258" s="1"/>
  <c r="AB258" s="1"/>
  <c r="AK258"/>
  <c r="AJ258"/>
  <c r="AH258"/>
  <c r="AG258"/>
  <c r="AF258"/>
  <c r="AE258"/>
  <c r="AD258"/>
  <c r="Z258"/>
  <c r="J258"/>
  <c r="AL258" s="1"/>
  <c r="I258"/>
  <c r="H258"/>
  <c r="BJ255"/>
  <c r="BF255"/>
  <c r="BD255"/>
  <c r="BC255"/>
  <c r="AX255"/>
  <c r="AW255"/>
  <c r="AP255"/>
  <c r="BI255" s="1"/>
  <c r="AC255" s="1"/>
  <c r="AO255"/>
  <c r="BH255" s="1"/>
  <c r="AK255"/>
  <c r="AJ255"/>
  <c r="AH255"/>
  <c r="AG255"/>
  <c r="AF255"/>
  <c r="AE255"/>
  <c r="AD255"/>
  <c r="AB255"/>
  <c r="Z255"/>
  <c r="J255"/>
  <c r="AL255" s="1"/>
  <c r="I255"/>
  <c r="BJ253"/>
  <c r="BF253"/>
  <c r="BD253"/>
  <c r="AX253"/>
  <c r="AP253"/>
  <c r="BI253" s="1"/>
  <c r="AO253"/>
  <c r="BH253" s="1"/>
  <c r="AL253"/>
  <c r="AK253"/>
  <c r="AJ253"/>
  <c r="AH253"/>
  <c r="AG253"/>
  <c r="AF253"/>
  <c r="AE253"/>
  <c r="AD253"/>
  <c r="AC253"/>
  <c r="AB253"/>
  <c r="Z253"/>
  <c r="J253"/>
  <c r="H253"/>
  <c r="BJ251"/>
  <c r="BF251"/>
  <c r="BD251"/>
  <c r="AP251"/>
  <c r="BI251" s="1"/>
  <c r="AC251" s="1"/>
  <c r="AO251"/>
  <c r="AL251"/>
  <c r="AK251"/>
  <c r="AJ251"/>
  <c r="AH251"/>
  <c r="AG251"/>
  <c r="AF251"/>
  <c r="AE251"/>
  <c r="AD251"/>
  <c r="Z251"/>
  <c r="J251"/>
  <c r="I251"/>
  <c r="BJ249"/>
  <c r="BI249"/>
  <c r="AC249" s="1"/>
  <c r="BH249"/>
  <c r="AB249" s="1"/>
  <c r="BF249"/>
  <c r="BD249"/>
  <c r="AP249"/>
  <c r="AO249"/>
  <c r="AL249"/>
  <c r="AK249"/>
  <c r="AJ249"/>
  <c r="AH249"/>
  <c r="AG249"/>
  <c r="AF249"/>
  <c r="AE249"/>
  <c r="AD249"/>
  <c r="Z249"/>
  <c r="J249"/>
  <c r="BJ247"/>
  <c r="BF247"/>
  <c r="BD247"/>
  <c r="AP247"/>
  <c r="BI247" s="1"/>
  <c r="AC247" s="1"/>
  <c r="AO247"/>
  <c r="AW247" s="1"/>
  <c r="AL247"/>
  <c r="AK247"/>
  <c r="AJ247"/>
  <c r="AH247"/>
  <c r="AG247"/>
  <c r="AF247"/>
  <c r="AE247"/>
  <c r="AD247"/>
  <c r="Z247"/>
  <c r="J247"/>
  <c r="BJ245"/>
  <c r="BF245"/>
  <c r="BD245"/>
  <c r="AW245"/>
  <c r="BC245" s="1"/>
  <c r="AP245"/>
  <c r="AX245" s="1"/>
  <c r="AO245"/>
  <c r="BH245" s="1"/>
  <c r="AB245" s="1"/>
  <c r="AK245"/>
  <c r="AJ245"/>
  <c r="AH245"/>
  <c r="AG245"/>
  <c r="AF245"/>
  <c r="AE245"/>
  <c r="AD245"/>
  <c r="Z245"/>
  <c r="J245"/>
  <c r="AL245" s="1"/>
  <c r="H245"/>
  <c r="AU244"/>
  <c r="BJ243"/>
  <c r="BI243"/>
  <c r="AC243" s="1"/>
  <c r="BF243"/>
  <c r="BD243"/>
  <c r="AP243"/>
  <c r="AO243"/>
  <c r="AW243" s="1"/>
  <c r="AL243"/>
  <c r="AK243"/>
  <c r="AJ243"/>
  <c r="AH243"/>
  <c r="AG243"/>
  <c r="AF243"/>
  <c r="AE243"/>
  <c r="AD243"/>
  <c r="Z243"/>
  <c r="J243"/>
  <c r="BJ242"/>
  <c r="BF242"/>
  <c r="BD242"/>
  <c r="AW242"/>
  <c r="BC242" s="1"/>
  <c r="AP242"/>
  <c r="AX242" s="1"/>
  <c r="AO242"/>
  <c r="BH242" s="1"/>
  <c r="AB242" s="1"/>
  <c r="AK242"/>
  <c r="AJ242"/>
  <c r="AH242"/>
  <c r="AG242"/>
  <c r="AF242"/>
  <c r="AE242"/>
  <c r="AD242"/>
  <c r="Z242"/>
  <c r="J242"/>
  <c r="AL242" s="1"/>
  <c r="H242"/>
  <c r="BJ239"/>
  <c r="BF239"/>
  <c r="BD239"/>
  <c r="AX239"/>
  <c r="AW239"/>
  <c r="AP239"/>
  <c r="BI239" s="1"/>
  <c r="AC239" s="1"/>
  <c r="AO239"/>
  <c r="BH239" s="1"/>
  <c r="AB239" s="1"/>
  <c r="AK239"/>
  <c r="AJ239"/>
  <c r="AH239"/>
  <c r="AG239"/>
  <c r="AF239"/>
  <c r="AE239"/>
  <c r="AD239"/>
  <c r="Z239"/>
  <c r="J239"/>
  <c r="AL239" s="1"/>
  <c r="I239"/>
  <c r="H239"/>
  <c r="BJ238"/>
  <c r="BF238"/>
  <c r="BD238"/>
  <c r="BC238"/>
  <c r="AX238"/>
  <c r="AW238"/>
  <c r="AP238"/>
  <c r="BI238" s="1"/>
  <c r="AC238" s="1"/>
  <c r="AO238"/>
  <c r="BH238" s="1"/>
  <c r="AB238" s="1"/>
  <c r="AK238"/>
  <c r="AJ238"/>
  <c r="AH238"/>
  <c r="AG238"/>
  <c r="AF238"/>
  <c r="AE238"/>
  <c r="AD238"/>
  <c r="Z238"/>
  <c r="J238"/>
  <c r="AL238" s="1"/>
  <c r="I238"/>
  <c r="H238"/>
  <c r="BJ237"/>
  <c r="BF237"/>
  <c r="BD237"/>
  <c r="BC237"/>
  <c r="AX237"/>
  <c r="AW237"/>
  <c r="AP237"/>
  <c r="BI237" s="1"/>
  <c r="AC237" s="1"/>
  <c r="AO237"/>
  <c r="BH237" s="1"/>
  <c r="AK237"/>
  <c r="AJ237"/>
  <c r="AH237"/>
  <c r="AG237"/>
  <c r="AF237"/>
  <c r="AE237"/>
  <c r="AD237"/>
  <c r="AB237"/>
  <c r="Z237"/>
  <c r="J237"/>
  <c r="AL237" s="1"/>
  <c r="I237"/>
  <c r="BJ234"/>
  <c r="BF234"/>
  <c r="BD234"/>
  <c r="AX234"/>
  <c r="AP234"/>
  <c r="BI234" s="1"/>
  <c r="AC234" s="1"/>
  <c r="AO234"/>
  <c r="BH234" s="1"/>
  <c r="AL234"/>
  <c r="AK234"/>
  <c r="AJ234"/>
  <c r="AH234"/>
  <c r="AG234"/>
  <c r="AF234"/>
  <c r="AE234"/>
  <c r="AD234"/>
  <c r="AB234"/>
  <c r="Z234"/>
  <c r="J234"/>
  <c r="H234"/>
  <c r="BJ233"/>
  <c r="BF233"/>
  <c r="BD233"/>
  <c r="AP233"/>
  <c r="BI233" s="1"/>
  <c r="AC233" s="1"/>
  <c r="AO233"/>
  <c r="AL233"/>
  <c r="AK233"/>
  <c r="AJ233"/>
  <c r="AH233"/>
  <c r="AG233"/>
  <c r="AF233"/>
  <c r="AE233"/>
  <c r="AD233"/>
  <c r="Z233"/>
  <c r="J233"/>
  <c r="I233"/>
  <c r="BJ232"/>
  <c r="BI232"/>
  <c r="AC232" s="1"/>
  <c r="BH232"/>
  <c r="AB232" s="1"/>
  <c r="BF232"/>
  <c r="BD232"/>
  <c r="AP232"/>
  <c r="AO232"/>
  <c r="AL232"/>
  <c r="AK232"/>
  <c r="AJ232"/>
  <c r="AH232"/>
  <c r="AG232"/>
  <c r="AF232"/>
  <c r="AE232"/>
  <c r="AD232"/>
  <c r="Z232"/>
  <c r="J232"/>
  <c r="BJ231"/>
  <c r="BI231"/>
  <c r="AC231" s="1"/>
  <c r="BF231"/>
  <c r="BD231"/>
  <c r="AP231"/>
  <c r="AO231"/>
  <c r="AW231" s="1"/>
  <c r="AL231"/>
  <c r="AK231"/>
  <c r="AJ231"/>
  <c r="AH231"/>
  <c r="AG231"/>
  <c r="AF231"/>
  <c r="AE231"/>
  <c r="AD231"/>
  <c r="Z231"/>
  <c r="J231"/>
  <c r="BJ230"/>
  <c r="BF230"/>
  <c r="BD230"/>
  <c r="AW230"/>
  <c r="BC230" s="1"/>
  <c r="AP230"/>
  <c r="AX230" s="1"/>
  <c r="AO230"/>
  <c r="BH230" s="1"/>
  <c r="AB230" s="1"/>
  <c r="AK230"/>
  <c r="AJ230"/>
  <c r="AH230"/>
  <c r="AG230"/>
  <c r="AF230"/>
  <c r="AE230"/>
  <c r="AD230"/>
  <c r="Z230"/>
  <c r="J230"/>
  <c r="AL230" s="1"/>
  <c r="H230"/>
  <c r="BJ229"/>
  <c r="BF229"/>
  <c r="BD229"/>
  <c r="AX229"/>
  <c r="AW229"/>
  <c r="AP229"/>
  <c r="BI229" s="1"/>
  <c r="AC229" s="1"/>
  <c r="AO229"/>
  <c r="BH229" s="1"/>
  <c r="AB229" s="1"/>
  <c r="AK229"/>
  <c r="AJ229"/>
  <c r="AH229"/>
  <c r="AG229"/>
  <c r="AF229"/>
  <c r="AE229"/>
  <c r="AD229"/>
  <c r="Z229"/>
  <c r="J229"/>
  <c r="AL229" s="1"/>
  <c r="I229"/>
  <c r="H229"/>
  <c r="BJ228"/>
  <c r="BF228"/>
  <c r="BD228"/>
  <c r="BC228"/>
  <c r="AX228"/>
  <c r="AW228"/>
  <c r="AP228"/>
  <c r="BI228" s="1"/>
  <c r="AC228" s="1"/>
  <c r="AO228"/>
  <c r="BH228" s="1"/>
  <c r="AB228" s="1"/>
  <c r="AK228"/>
  <c r="AJ228"/>
  <c r="AH228"/>
  <c r="AG228"/>
  <c r="AF228"/>
  <c r="AE228"/>
  <c r="AD228"/>
  <c r="Z228"/>
  <c r="J228"/>
  <c r="AL228" s="1"/>
  <c r="I228"/>
  <c r="H228"/>
  <c r="BJ227"/>
  <c r="BF227"/>
  <c r="BD227"/>
  <c r="BC227"/>
  <c r="AX227"/>
  <c r="AW227"/>
  <c r="AP227"/>
  <c r="BI227" s="1"/>
  <c r="AC227" s="1"/>
  <c r="AO227"/>
  <c r="BH227" s="1"/>
  <c r="AK227"/>
  <c r="AJ227"/>
  <c r="AH227"/>
  <c r="AG227"/>
  <c r="AF227"/>
  <c r="AE227"/>
  <c r="AD227"/>
  <c r="AB227"/>
  <c r="Z227"/>
  <c r="J227"/>
  <c r="AL227" s="1"/>
  <c r="I227"/>
  <c r="BJ219"/>
  <c r="BF219"/>
  <c r="BD219"/>
  <c r="AX219"/>
  <c r="AP219"/>
  <c r="BI219" s="1"/>
  <c r="AC219" s="1"/>
  <c r="AO219"/>
  <c r="BH219" s="1"/>
  <c r="AL219"/>
  <c r="AK219"/>
  <c r="AJ219"/>
  <c r="AH219"/>
  <c r="AG219"/>
  <c r="AF219"/>
  <c r="AE219"/>
  <c r="AD219"/>
  <c r="AB219"/>
  <c r="Z219"/>
  <c r="J219"/>
  <c r="H219"/>
  <c r="BJ218"/>
  <c r="BF218"/>
  <c r="BD218"/>
  <c r="AP218"/>
  <c r="BI218" s="1"/>
  <c r="AC218" s="1"/>
  <c r="AO218"/>
  <c r="AL218"/>
  <c r="AK218"/>
  <c r="AJ218"/>
  <c r="AH218"/>
  <c r="AG218"/>
  <c r="AF218"/>
  <c r="AE218"/>
  <c r="AD218"/>
  <c r="Z218"/>
  <c r="J218"/>
  <c r="I218"/>
  <c r="BJ217"/>
  <c r="BI217"/>
  <c r="AC217" s="1"/>
  <c r="BH217"/>
  <c r="AB217" s="1"/>
  <c r="BF217"/>
  <c r="BD217"/>
  <c r="AP217"/>
  <c r="AO217"/>
  <c r="AL217"/>
  <c r="AK217"/>
  <c r="AJ217"/>
  <c r="AH217"/>
  <c r="AG217"/>
  <c r="AF217"/>
  <c r="AE217"/>
  <c r="AD217"/>
  <c r="Z217"/>
  <c r="J217"/>
  <c r="BJ216"/>
  <c r="BI216"/>
  <c r="AC216" s="1"/>
  <c r="BF216"/>
  <c r="BD216"/>
  <c r="AP216"/>
  <c r="AO216"/>
  <c r="AW216" s="1"/>
  <c r="AL216"/>
  <c r="AK216"/>
  <c r="AJ216"/>
  <c r="AH216"/>
  <c r="AG216"/>
  <c r="AF216"/>
  <c r="AE216"/>
  <c r="AD216"/>
  <c r="Z216"/>
  <c r="J216"/>
  <c r="BJ215"/>
  <c r="BF215"/>
  <c r="BD215"/>
  <c r="AW215"/>
  <c r="BC215" s="1"/>
  <c r="AP215"/>
  <c r="AX215" s="1"/>
  <c r="AO215"/>
  <c r="BH215" s="1"/>
  <c r="AB215" s="1"/>
  <c r="AK215"/>
  <c r="AJ215"/>
  <c r="AH215"/>
  <c r="AG215"/>
  <c r="AF215"/>
  <c r="AE215"/>
  <c r="AD215"/>
  <c r="Z215"/>
  <c r="J215"/>
  <c r="AL215" s="1"/>
  <c r="H215"/>
  <c r="BJ210"/>
  <c r="BF210"/>
  <c r="BD210"/>
  <c r="AX210"/>
  <c r="AW210"/>
  <c r="AP210"/>
  <c r="BI210" s="1"/>
  <c r="AC210" s="1"/>
  <c r="AO210"/>
  <c r="BH210" s="1"/>
  <c r="AB210" s="1"/>
  <c r="AK210"/>
  <c r="AJ210"/>
  <c r="AH210"/>
  <c r="AG210"/>
  <c r="AF210"/>
  <c r="AE210"/>
  <c r="AD210"/>
  <c r="Z210"/>
  <c r="J210"/>
  <c r="I210"/>
  <c r="H210"/>
  <c r="BJ207"/>
  <c r="BF207"/>
  <c r="BD207"/>
  <c r="AW207"/>
  <c r="AV207"/>
  <c r="AP207"/>
  <c r="AX207" s="1"/>
  <c r="AO207"/>
  <c r="BH207" s="1"/>
  <c r="AK207"/>
  <c r="AJ207"/>
  <c r="AH207"/>
  <c r="AG207"/>
  <c r="AF207"/>
  <c r="AD207"/>
  <c r="AC207"/>
  <c r="AB207"/>
  <c r="Z207"/>
  <c r="J207"/>
  <c r="AL207" s="1"/>
  <c r="H207"/>
  <c r="BJ203"/>
  <c r="BI203"/>
  <c r="AE203" s="1"/>
  <c r="BF203"/>
  <c r="BD203"/>
  <c r="AW203"/>
  <c r="AP203"/>
  <c r="AX203" s="1"/>
  <c r="AO203"/>
  <c r="BH203" s="1"/>
  <c r="AD203" s="1"/>
  <c r="AK203"/>
  <c r="AT202" s="1"/>
  <c r="AJ203"/>
  <c r="AH203"/>
  <c r="AG203"/>
  <c r="AF203"/>
  <c r="AC203"/>
  <c r="AB203"/>
  <c r="Z203"/>
  <c r="J203"/>
  <c r="I203"/>
  <c r="H203"/>
  <c r="AS202"/>
  <c r="H202"/>
  <c r="BJ200"/>
  <c r="BI200"/>
  <c r="AE200" s="1"/>
  <c r="BF200"/>
  <c r="BD200"/>
  <c r="AP200"/>
  <c r="AX200" s="1"/>
  <c r="AO200"/>
  <c r="AW200" s="1"/>
  <c r="AK200"/>
  <c r="AJ200"/>
  <c r="AH200"/>
  <c r="AG200"/>
  <c r="AF200"/>
  <c r="AC200"/>
  <c r="AB200"/>
  <c r="Z200"/>
  <c r="J200"/>
  <c r="AL200" s="1"/>
  <c r="BJ198"/>
  <c r="BF198"/>
  <c r="BD198"/>
  <c r="AX198"/>
  <c r="AW198"/>
  <c r="AP198"/>
  <c r="BI198" s="1"/>
  <c r="AE198" s="1"/>
  <c r="AO198"/>
  <c r="BH198" s="1"/>
  <c r="AD198" s="1"/>
  <c r="AK198"/>
  <c r="AJ198"/>
  <c r="AH198"/>
  <c r="AG198"/>
  <c r="AF198"/>
  <c r="AC198"/>
  <c r="AB198"/>
  <c r="Z198"/>
  <c r="J198"/>
  <c r="AL198" s="1"/>
  <c r="I198"/>
  <c r="H198"/>
  <c r="BJ196"/>
  <c r="BF196"/>
  <c r="BD196"/>
  <c r="AX196"/>
  <c r="AW196"/>
  <c r="BC196" s="1"/>
  <c r="AP196"/>
  <c r="BI196" s="1"/>
  <c r="AE196" s="1"/>
  <c r="AO196"/>
  <c r="BH196" s="1"/>
  <c r="AD196" s="1"/>
  <c r="AK196"/>
  <c r="AJ196"/>
  <c r="AH196"/>
  <c r="AG196"/>
  <c r="AF196"/>
  <c r="AC196"/>
  <c r="AB196"/>
  <c r="Z196"/>
  <c r="J196"/>
  <c r="AL196" s="1"/>
  <c r="I196"/>
  <c r="H196"/>
  <c r="BJ194"/>
  <c r="BF194"/>
  <c r="BD194"/>
  <c r="BC194"/>
  <c r="AX194"/>
  <c r="AW194"/>
  <c r="AP194"/>
  <c r="BI194" s="1"/>
  <c r="AE194" s="1"/>
  <c r="AO194"/>
  <c r="BH194" s="1"/>
  <c r="AD194" s="1"/>
  <c r="AK194"/>
  <c r="AJ194"/>
  <c r="AH194"/>
  <c r="AG194"/>
  <c r="AF194"/>
  <c r="AC194"/>
  <c r="AB194"/>
  <c r="Z194"/>
  <c r="J194"/>
  <c r="AL194" s="1"/>
  <c r="I194"/>
  <c r="BJ192"/>
  <c r="BF192"/>
  <c r="BD192"/>
  <c r="AX192"/>
  <c r="AP192"/>
  <c r="BI192" s="1"/>
  <c r="AE192" s="1"/>
  <c r="AO192"/>
  <c r="BH192" s="1"/>
  <c r="AD192" s="1"/>
  <c r="AL192"/>
  <c r="AK192"/>
  <c r="AJ192"/>
  <c r="AS189" s="1"/>
  <c r="AH192"/>
  <c r="AG192"/>
  <c r="AF192"/>
  <c r="AC192"/>
  <c r="AB192"/>
  <c r="Z192"/>
  <c r="J192"/>
  <c r="H192"/>
  <c r="BJ190"/>
  <c r="BF190"/>
  <c r="BD190"/>
  <c r="AP190"/>
  <c r="BI190" s="1"/>
  <c r="AE190" s="1"/>
  <c r="AO190"/>
  <c r="AL190"/>
  <c r="AK190"/>
  <c r="AT189" s="1"/>
  <c r="AJ190"/>
  <c r="AH190"/>
  <c r="AG190"/>
  <c r="AF190"/>
  <c r="AC190"/>
  <c r="AB190"/>
  <c r="Z190"/>
  <c r="J190"/>
  <c r="I190"/>
  <c r="J189"/>
  <c r="BJ185"/>
  <c r="BF185"/>
  <c r="BD185"/>
  <c r="AX185"/>
  <c r="AP185"/>
  <c r="BI185" s="1"/>
  <c r="AE185" s="1"/>
  <c r="AO185"/>
  <c r="BH185" s="1"/>
  <c r="AD185" s="1"/>
  <c r="AL185"/>
  <c r="AU184" s="1"/>
  <c r="AK185"/>
  <c r="AT184" s="1"/>
  <c r="AJ185"/>
  <c r="AS184" s="1"/>
  <c r="AH185"/>
  <c r="AG185"/>
  <c r="AF185"/>
  <c r="AC185"/>
  <c r="AB185"/>
  <c r="Z185"/>
  <c r="J185"/>
  <c r="J184" s="1"/>
  <c r="H185"/>
  <c r="H184"/>
  <c r="BJ181"/>
  <c r="BF181"/>
  <c r="BD181"/>
  <c r="AX181"/>
  <c r="AW181"/>
  <c r="AV181" s="1"/>
  <c r="AP181"/>
  <c r="BI181" s="1"/>
  <c r="AE181" s="1"/>
  <c r="AO181"/>
  <c r="BH181" s="1"/>
  <c r="AD181" s="1"/>
  <c r="AK181"/>
  <c r="AJ181"/>
  <c r="AH181"/>
  <c r="AG181"/>
  <c r="AF181"/>
  <c r="AC181"/>
  <c r="AB181"/>
  <c r="Z181"/>
  <c r="J181"/>
  <c r="AL181" s="1"/>
  <c r="I181"/>
  <c r="BJ179"/>
  <c r="BF179"/>
  <c r="BD179"/>
  <c r="AX179"/>
  <c r="AP179"/>
  <c r="BI179" s="1"/>
  <c r="AE179" s="1"/>
  <c r="AO179"/>
  <c r="BH179" s="1"/>
  <c r="AD179" s="1"/>
  <c r="AL179"/>
  <c r="AK179"/>
  <c r="AJ179"/>
  <c r="AH179"/>
  <c r="AG179"/>
  <c r="AF179"/>
  <c r="AC179"/>
  <c r="AB179"/>
  <c r="Z179"/>
  <c r="J179"/>
  <c r="H179"/>
  <c r="BJ176"/>
  <c r="BF176"/>
  <c r="BD176"/>
  <c r="AP176"/>
  <c r="BI176" s="1"/>
  <c r="AE176" s="1"/>
  <c r="AO176"/>
  <c r="AL176"/>
  <c r="AK176"/>
  <c r="AJ176"/>
  <c r="AH176"/>
  <c r="AG176"/>
  <c r="AF176"/>
  <c r="AC176"/>
  <c r="AB176"/>
  <c r="Z176"/>
  <c r="J176"/>
  <c r="I176"/>
  <c r="BJ173"/>
  <c r="BI173"/>
  <c r="AE173" s="1"/>
  <c r="BH173"/>
  <c r="AD173" s="1"/>
  <c r="BF173"/>
  <c r="BD173"/>
  <c r="AP173"/>
  <c r="AO173"/>
  <c r="AL173"/>
  <c r="AK173"/>
  <c r="AJ173"/>
  <c r="AH173"/>
  <c r="AG173"/>
  <c r="AF173"/>
  <c r="AC173"/>
  <c r="AB173"/>
  <c r="Z173"/>
  <c r="J173"/>
  <c r="BJ169"/>
  <c r="BF169"/>
  <c r="BD169"/>
  <c r="AP169"/>
  <c r="BI169" s="1"/>
  <c r="AE169" s="1"/>
  <c r="AO169"/>
  <c r="AW169" s="1"/>
  <c r="AL169"/>
  <c r="AU168" s="1"/>
  <c r="AK169"/>
  <c r="AJ169"/>
  <c r="AH169"/>
  <c r="AG169"/>
  <c r="AF169"/>
  <c r="AC169"/>
  <c r="AB169"/>
  <c r="Z169"/>
  <c r="J169"/>
  <c r="AT168"/>
  <c r="AS168"/>
  <c r="BJ166"/>
  <c r="BI166"/>
  <c r="AE166" s="1"/>
  <c r="BF166"/>
  <c r="BD166"/>
  <c r="AP166"/>
  <c r="AO166"/>
  <c r="AL166"/>
  <c r="AU165" s="1"/>
  <c r="AK166"/>
  <c r="AT165" s="1"/>
  <c r="AJ166"/>
  <c r="AH166"/>
  <c r="AG166"/>
  <c r="AF166"/>
  <c r="AC166"/>
  <c r="AB166"/>
  <c r="Z166"/>
  <c r="J166"/>
  <c r="AS165"/>
  <c r="J165"/>
  <c r="BJ162"/>
  <c r="BH162"/>
  <c r="AD162" s="1"/>
  <c r="BF162"/>
  <c r="BD162"/>
  <c r="AP162"/>
  <c r="BI162" s="1"/>
  <c r="AE162" s="1"/>
  <c r="AO162"/>
  <c r="AL162"/>
  <c r="AU161" s="1"/>
  <c r="AK162"/>
  <c r="AT161" s="1"/>
  <c r="AJ162"/>
  <c r="AS161" s="1"/>
  <c r="AH162"/>
  <c r="AG162"/>
  <c r="AF162"/>
  <c r="AC162"/>
  <c r="AB162"/>
  <c r="Z162"/>
  <c r="J162"/>
  <c r="I162"/>
  <c r="J161"/>
  <c r="I161"/>
  <c r="BJ159"/>
  <c r="BF159"/>
  <c r="BD159"/>
  <c r="AX159"/>
  <c r="AP159"/>
  <c r="BI159" s="1"/>
  <c r="AC159" s="1"/>
  <c r="AO159"/>
  <c r="BH159" s="1"/>
  <c r="AK159"/>
  <c r="AT158" s="1"/>
  <c r="AJ159"/>
  <c r="AS158" s="1"/>
  <c r="AH159"/>
  <c r="AG159"/>
  <c r="AF159"/>
  <c r="AE159"/>
  <c r="AD159"/>
  <c r="AB159"/>
  <c r="Z159"/>
  <c r="J159"/>
  <c r="AL159" s="1"/>
  <c r="AU158" s="1"/>
  <c r="H159"/>
  <c r="H158"/>
  <c r="BJ154"/>
  <c r="BF154"/>
  <c r="BD154"/>
  <c r="AX154"/>
  <c r="AW154"/>
  <c r="AV154" s="1"/>
  <c r="AP154"/>
  <c r="BI154" s="1"/>
  <c r="AC154" s="1"/>
  <c r="AO154"/>
  <c r="BH154" s="1"/>
  <c r="AK154"/>
  <c r="AJ154"/>
  <c r="AS149" s="1"/>
  <c r="AH154"/>
  <c r="AG154"/>
  <c r="AF154"/>
  <c r="AE154"/>
  <c r="AD154"/>
  <c r="AB154"/>
  <c r="Z154"/>
  <c r="J154"/>
  <c r="AL154" s="1"/>
  <c r="I154"/>
  <c r="BJ150"/>
  <c r="BF150"/>
  <c r="BD150"/>
  <c r="AX150"/>
  <c r="AP150"/>
  <c r="BI150" s="1"/>
  <c r="AC150" s="1"/>
  <c r="AO150"/>
  <c r="BH150" s="1"/>
  <c r="AB150" s="1"/>
  <c r="AL150"/>
  <c r="AK150"/>
  <c r="AJ150"/>
  <c r="AH150"/>
  <c r="AG150"/>
  <c r="AF150"/>
  <c r="AE150"/>
  <c r="AD150"/>
  <c r="Z150"/>
  <c r="J150"/>
  <c r="H150"/>
  <c r="J149"/>
  <c r="BJ147"/>
  <c r="BF147"/>
  <c r="BD147"/>
  <c r="AX147"/>
  <c r="AW147"/>
  <c r="AV147" s="1"/>
  <c r="AP147"/>
  <c r="BI147" s="1"/>
  <c r="AC147" s="1"/>
  <c r="AO147"/>
  <c r="BH147" s="1"/>
  <c r="AK147"/>
  <c r="AT146" s="1"/>
  <c r="AJ147"/>
  <c r="AS146" s="1"/>
  <c r="AH147"/>
  <c r="AG147"/>
  <c r="AF147"/>
  <c r="AE147"/>
  <c r="AD147"/>
  <c r="AB147"/>
  <c r="Z147"/>
  <c r="J147"/>
  <c r="AL147" s="1"/>
  <c r="AU146" s="1"/>
  <c r="I147"/>
  <c r="I146" s="1"/>
  <c r="J146"/>
  <c r="BJ144"/>
  <c r="BF144"/>
  <c r="BD144"/>
  <c r="AX144"/>
  <c r="AW144"/>
  <c r="AV144" s="1"/>
  <c r="AP144"/>
  <c r="BI144" s="1"/>
  <c r="AG144" s="1"/>
  <c r="AO144"/>
  <c r="BH144" s="1"/>
  <c r="AF144" s="1"/>
  <c r="AK144"/>
  <c r="AJ144"/>
  <c r="AH144"/>
  <c r="AE144"/>
  <c r="AD144"/>
  <c r="AC144"/>
  <c r="AB144"/>
  <c r="Z144"/>
  <c r="J144"/>
  <c r="AL144" s="1"/>
  <c r="I144"/>
  <c r="H144"/>
  <c r="BJ142"/>
  <c r="BF142"/>
  <c r="BD142"/>
  <c r="BC142"/>
  <c r="AX142"/>
  <c r="AW142"/>
  <c r="AP142"/>
  <c r="BI142" s="1"/>
  <c r="AC142" s="1"/>
  <c r="AO142"/>
  <c r="BH142" s="1"/>
  <c r="AK142"/>
  <c r="AT141" s="1"/>
  <c r="AJ142"/>
  <c r="AS141" s="1"/>
  <c r="AH142"/>
  <c r="AG142"/>
  <c r="AF142"/>
  <c r="AE142"/>
  <c r="AD142"/>
  <c r="AB142"/>
  <c r="Z142"/>
  <c r="J142"/>
  <c r="AL142" s="1"/>
  <c r="AU141" s="1"/>
  <c r="I142"/>
  <c r="I141" s="1"/>
  <c r="H142"/>
  <c r="H141"/>
  <c r="BJ139"/>
  <c r="BF139"/>
  <c r="BD139"/>
  <c r="BC139"/>
  <c r="AX139"/>
  <c r="AW139"/>
  <c r="AV139" s="1"/>
  <c r="AP139"/>
  <c r="BI139" s="1"/>
  <c r="AC139" s="1"/>
  <c r="AO139"/>
  <c r="BH139" s="1"/>
  <c r="AB139" s="1"/>
  <c r="AK139"/>
  <c r="AJ139"/>
  <c r="AH139"/>
  <c r="AG139"/>
  <c r="AF139"/>
  <c r="AE139"/>
  <c r="AD139"/>
  <c r="Z139"/>
  <c r="J139"/>
  <c r="AL139" s="1"/>
  <c r="I139"/>
  <c r="I136" s="1"/>
  <c r="H139"/>
  <c r="BJ137"/>
  <c r="BF137"/>
  <c r="BD137"/>
  <c r="BC137"/>
  <c r="AX137"/>
  <c r="AW137"/>
  <c r="AP137"/>
  <c r="BI137" s="1"/>
  <c r="AC137" s="1"/>
  <c r="AO137"/>
  <c r="BH137" s="1"/>
  <c r="AK137"/>
  <c r="AT136" s="1"/>
  <c r="AJ137"/>
  <c r="AH137"/>
  <c r="AG137"/>
  <c r="AF137"/>
  <c r="AE137"/>
  <c r="AD137"/>
  <c r="AB137"/>
  <c r="Z137"/>
  <c r="J137"/>
  <c r="AL137" s="1"/>
  <c r="AU136" s="1"/>
  <c r="I137"/>
  <c r="H137"/>
  <c r="H136"/>
  <c r="BJ134"/>
  <c r="BF134"/>
  <c r="BD134"/>
  <c r="AX134"/>
  <c r="AW134"/>
  <c r="AV134" s="1"/>
  <c r="AP134"/>
  <c r="BI134" s="1"/>
  <c r="AC134" s="1"/>
  <c r="AO134"/>
  <c r="BH134" s="1"/>
  <c r="AB134" s="1"/>
  <c r="AK134"/>
  <c r="AJ134"/>
  <c r="AH134"/>
  <c r="AG134"/>
  <c r="AF134"/>
  <c r="AE134"/>
  <c r="AD134"/>
  <c r="Z134"/>
  <c r="J134"/>
  <c r="AL134" s="1"/>
  <c r="I134"/>
  <c r="H134"/>
  <c r="BJ132"/>
  <c r="BF132"/>
  <c r="BD132"/>
  <c r="BC132"/>
  <c r="AX132"/>
  <c r="AW132"/>
  <c r="AP132"/>
  <c r="BI132" s="1"/>
  <c r="AC132" s="1"/>
  <c r="AO132"/>
  <c r="BH132" s="1"/>
  <c r="AK132"/>
  <c r="AJ132"/>
  <c r="AH132"/>
  <c r="AG132"/>
  <c r="AF132"/>
  <c r="AE132"/>
  <c r="AD132"/>
  <c r="AB132"/>
  <c r="Z132"/>
  <c r="J132"/>
  <c r="AL132" s="1"/>
  <c r="I132"/>
  <c r="H132"/>
  <c r="BJ130"/>
  <c r="BF130"/>
  <c r="BD130"/>
  <c r="AX130"/>
  <c r="AP130"/>
  <c r="BI130" s="1"/>
  <c r="AO130"/>
  <c r="BH130" s="1"/>
  <c r="AL130"/>
  <c r="AK130"/>
  <c r="AT127" s="1"/>
  <c r="AJ130"/>
  <c r="AS127" s="1"/>
  <c r="AH130"/>
  <c r="AG130"/>
  <c r="AF130"/>
  <c r="AE130"/>
  <c r="AD130"/>
  <c r="AC130"/>
  <c r="AB130"/>
  <c r="Z130"/>
  <c r="J130"/>
  <c r="J127" s="1"/>
  <c r="I130"/>
  <c r="H130"/>
  <c r="BJ128"/>
  <c r="BH128"/>
  <c r="BF128"/>
  <c r="BD128"/>
  <c r="AP128"/>
  <c r="BI128" s="1"/>
  <c r="AO128"/>
  <c r="AL128"/>
  <c r="AK128"/>
  <c r="AJ128"/>
  <c r="AH128"/>
  <c r="AG128"/>
  <c r="AF128"/>
  <c r="AE128"/>
  <c r="AD128"/>
  <c r="AC128"/>
  <c r="AB128"/>
  <c r="Z128"/>
  <c r="J128"/>
  <c r="I128"/>
  <c r="I127"/>
  <c r="BJ125"/>
  <c r="BF125"/>
  <c r="BD125"/>
  <c r="AX125"/>
  <c r="AP125"/>
  <c r="BI125" s="1"/>
  <c r="AO125"/>
  <c r="BH125" s="1"/>
  <c r="AK125"/>
  <c r="AT124" s="1"/>
  <c r="AJ125"/>
  <c r="AH125"/>
  <c r="AG125"/>
  <c r="AF125"/>
  <c r="AE125"/>
  <c r="AD125"/>
  <c r="AC125"/>
  <c r="AB125"/>
  <c r="Z125"/>
  <c r="J125"/>
  <c r="AL125" s="1"/>
  <c r="AU124" s="1"/>
  <c r="I125"/>
  <c r="H125"/>
  <c r="AS124"/>
  <c r="I124"/>
  <c r="H124"/>
  <c r="BJ105"/>
  <c r="BF105"/>
  <c r="BD105"/>
  <c r="BC105"/>
  <c r="AX105"/>
  <c r="AW105"/>
  <c r="AP105"/>
  <c r="BI105" s="1"/>
  <c r="AC105" s="1"/>
  <c r="AO105"/>
  <c r="BH105" s="1"/>
  <c r="AK105"/>
  <c r="AT104" s="1"/>
  <c r="AJ105"/>
  <c r="AS104" s="1"/>
  <c r="AH105"/>
  <c r="AG105"/>
  <c r="AF105"/>
  <c r="AE105"/>
  <c r="AD105"/>
  <c r="AB105"/>
  <c r="Z105"/>
  <c r="J105"/>
  <c r="AL105" s="1"/>
  <c r="AU104" s="1"/>
  <c r="I105"/>
  <c r="I104" s="1"/>
  <c r="H105"/>
  <c r="H104"/>
  <c r="BJ102"/>
  <c r="BF102"/>
  <c r="BD102"/>
  <c r="BC102"/>
  <c r="AX102"/>
  <c r="AW102"/>
  <c r="AV102" s="1"/>
  <c r="AP102"/>
  <c r="BI102" s="1"/>
  <c r="AC102" s="1"/>
  <c r="AO102"/>
  <c r="BH102" s="1"/>
  <c r="AB102" s="1"/>
  <c r="AK102"/>
  <c r="AJ102"/>
  <c r="AH102"/>
  <c r="AG102"/>
  <c r="AF102"/>
  <c r="AE102"/>
  <c r="AD102"/>
  <c r="Z102"/>
  <c r="J102"/>
  <c r="AL102" s="1"/>
  <c r="I102"/>
  <c r="H102"/>
  <c r="BJ100"/>
  <c r="BF100"/>
  <c r="BD100"/>
  <c r="BC100"/>
  <c r="AX100"/>
  <c r="AW100"/>
  <c r="AP100"/>
  <c r="BI100" s="1"/>
  <c r="AC100" s="1"/>
  <c r="AO100"/>
  <c r="BH100" s="1"/>
  <c r="AK100"/>
  <c r="AJ100"/>
  <c r="AH100"/>
  <c r="AG100"/>
  <c r="AF100"/>
  <c r="AE100"/>
  <c r="AD100"/>
  <c r="AB100"/>
  <c r="Z100"/>
  <c r="J100"/>
  <c r="AL100" s="1"/>
  <c r="I100"/>
  <c r="H100"/>
  <c r="BJ98"/>
  <c r="BF98"/>
  <c r="BD98"/>
  <c r="AX98"/>
  <c r="AP98"/>
  <c r="BI98" s="1"/>
  <c r="AO98"/>
  <c r="BH98" s="1"/>
  <c r="AK98"/>
  <c r="AJ98"/>
  <c r="AH98"/>
  <c r="AG98"/>
  <c r="AF98"/>
  <c r="AE98"/>
  <c r="AD98"/>
  <c r="AC98"/>
  <c r="AB98"/>
  <c r="Z98"/>
  <c r="J98"/>
  <c r="AL98" s="1"/>
  <c r="I98"/>
  <c r="H98"/>
  <c r="BJ94"/>
  <c r="BF94"/>
  <c r="BD94"/>
  <c r="AP94"/>
  <c r="BI94" s="1"/>
  <c r="AC94" s="1"/>
  <c r="AO94"/>
  <c r="BH94" s="1"/>
  <c r="AB94" s="1"/>
  <c r="AL94"/>
  <c r="AK94"/>
  <c r="AT83" s="1"/>
  <c r="AJ94"/>
  <c r="AH94"/>
  <c r="AG94"/>
  <c r="AF94"/>
  <c r="AE94"/>
  <c r="AD94"/>
  <c r="Z94"/>
  <c r="J94"/>
  <c r="I94"/>
  <c r="BJ90"/>
  <c r="BI90"/>
  <c r="AC90" s="1"/>
  <c r="BH90"/>
  <c r="AB90" s="1"/>
  <c r="BF90"/>
  <c r="BD90"/>
  <c r="AP90"/>
  <c r="AO90"/>
  <c r="AL90"/>
  <c r="AK90"/>
  <c r="AJ90"/>
  <c r="AH90"/>
  <c r="AG90"/>
  <c r="AF90"/>
  <c r="AE90"/>
  <c r="AD90"/>
  <c r="Z90"/>
  <c r="J90"/>
  <c r="BJ84"/>
  <c r="BF84"/>
  <c r="BD84"/>
  <c r="AP84"/>
  <c r="BI84" s="1"/>
  <c r="AC84" s="1"/>
  <c r="AO84"/>
  <c r="AW84" s="1"/>
  <c r="AL84"/>
  <c r="AU83" s="1"/>
  <c r="AK84"/>
  <c r="AJ84"/>
  <c r="AH84"/>
  <c r="AG84"/>
  <c r="AF84"/>
  <c r="AE84"/>
  <c r="AD84"/>
  <c r="Z84"/>
  <c r="J84"/>
  <c r="AS83"/>
  <c r="BJ81"/>
  <c r="BI81"/>
  <c r="BH81"/>
  <c r="BF81"/>
  <c r="BD81"/>
  <c r="AP81"/>
  <c r="AO81"/>
  <c r="AL81"/>
  <c r="AK81"/>
  <c r="AJ81"/>
  <c r="AH81"/>
  <c r="AG81"/>
  <c r="AF81"/>
  <c r="AE81"/>
  <c r="AD81"/>
  <c r="AC81"/>
  <c r="AB81"/>
  <c r="Z81"/>
  <c r="J81"/>
  <c r="BJ79"/>
  <c r="BF79"/>
  <c r="BD79"/>
  <c r="AP79"/>
  <c r="AO79"/>
  <c r="AW79" s="1"/>
  <c r="AL79"/>
  <c r="AK79"/>
  <c r="AJ79"/>
  <c r="AH79"/>
  <c r="AG79"/>
  <c r="AF79"/>
  <c r="AE79"/>
  <c r="AD79"/>
  <c r="Z79"/>
  <c r="J79"/>
  <c r="BJ75"/>
  <c r="BI75"/>
  <c r="AC75" s="1"/>
  <c r="BF75"/>
  <c r="BD75"/>
  <c r="AP75"/>
  <c r="AX75" s="1"/>
  <c r="AO75"/>
  <c r="H75" s="1"/>
  <c r="AL75"/>
  <c r="AK75"/>
  <c r="AJ75"/>
  <c r="AH75"/>
  <c r="AG75"/>
  <c r="AF75"/>
  <c r="AE75"/>
  <c r="AD75"/>
  <c r="Z75"/>
  <c r="J75"/>
  <c r="BJ73"/>
  <c r="BF73"/>
  <c r="BD73"/>
  <c r="AX73"/>
  <c r="AW73"/>
  <c r="AP73"/>
  <c r="BI73" s="1"/>
  <c r="AC73" s="1"/>
  <c r="AO73"/>
  <c r="BH73" s="1"/>
  <c r="AB73" s="1"/>
  <c r="AK73"/>
  <c r="AJ73"/>
  <c r="AH73"/>
  <c r="AG73"/>
  <c r="AF73"/>
  <c r="AE73"/>
  <c r="AD73"/>
  <c r="Z73"/>
  <c r="J73"/>
  <c r="AL73" s="1"/>
  <c r="I73"/>
  <c r="H73"/>
  <c r="BJ70"/>
  <c r="BF70"/>
  <c r="BD70"/>
  <c r="BC70"/>
  <c r="AX70"/>
  <c r="AW70"/>
  <c r="AV70" s="1"/>
  <c r="AP70"/>
  <c r="BI70" s="1"/>
  <c r="AC70" s="1"/>
  <c r="AO70"/>
  <c r="BH70" s="1"/>
  <c r="AB70" s="1"/>
  <c r="AK70"/>
  <c r="AJ70"/>
  <c r="AH70"/>
  <c r="AG70"/>
  <c r="AF70"/>
  <c r="AE70"/>
  <c r="AD70"/>
  <c r="Z70"/>
  <c r="J70"/>
  <c r="AL70" s="1"/>
  <c r="I70"/>
  <c r="H70"/>
  <c r="BJ68"/>
  <c r="BF68"/>
  <c r="BD68"/>
  <c r="AW68"/>
  <c r="AP68"/>
  <c r="AX68" s="1"/>
  <c r="BC68" s="1"/>
  <c r="AO68"/>
  <c r="BH68" s="1"/>
  <c r="AK68"/>
  <c r="AJ68"/>
  <c r="AH68"/>
  <c r="AG68"/>
  <c r="AF68"/>
  <c r="AE68"/>
  <c r="AD68"/>
  <c r="AB68"/>
  <c r="Z68"/>
  <c r="J68"/>
  <c r="AL68" s="1"/>
  <c r="H68"/>
  <c r="BJ65"/>
  <c r="BF65"/>
  <c r="BD65"/>
  <c r="BC65"/>
  <c r="AX65"/>
  <c r="AV65" s="1"/>
  <c r="AW65"/>
  <c r="AP65"/>
  <c r="BI65" s="1"/>
  <c r="AC65" s="1"/>
  <c r="AO65"/>
  <c r="BH65" s="1"/>
  <c r="AK65"/>
  <c r="AJ65"/>
  <c r="AH65"/>
  <c r="AG65"/>
  <c r="AF65"/>
  <c r="AE65"/>
  <c r="AD65"/>
  <c r="AB65"/>
  <c r="Z65"/>
  <c r="J65"/>
  <c r="AL65" s="1"/>
  <c r="I65"/>
  <c r="H65"/>
  <c r="BJ62"/>
  <c r="BF62"/>
  <c r="BD62"/>
  <c r="AX62"/>
  <c r="AP62"/>
  <c r="BI62" s="1"/>
  <c r="AO62"/>
  <c r="H62" s="1"/>
  <c r="AL62"/>
  <c r="AK62"/>
  <c r="AJ62"/>
  <c r="AS58" s="1"/>
  <c r="AH62"/>
  <c r="AG62"/>
  <c r="AF62"/>
  <c r="AE62"/>
  <c r="AD62"/>
  <c r="AC62"/>
  <c r="Z62"/>
  <c r="J62"/>
  <c r="I62"/>
  <c r="BJ59"/>
  <c r="BF59"/>
  <c r="BD59"/>
  <c r="AX59"/>
  <c r="AP59"/>
  <c r="I59" s="1"/>
  <c r="AO59"/>
  <c r="AL59"/>
  <c r="AK59"/>
  <c r="AJ59"/>
  <c r="AH59"/>
  <c r="AG59"/>
  <c r="AF59"/>
  <c r="AE59"/>
  <c r="AD59"/>
  <c r="Z59"/>
  <c r="J59"/>
  <c r="AT58"/>
  <c r="BJ56"/>
  <c r="BH56"/>
  <c r="AB56" s="1"/>
  <c r="BF56"/>
  <c r="BD56"/>
  <c r="BC56"/>
  <c r="AX56"/>
  <c r="AW56"/>
  <c r="AV56" s="1"/>
  <c r="AP56"/>
  <c r="BI56" s="1"/>
  <c r="AO56"/>
  <c r="H56" s="1"/>
  <c r="AL56"/>
  <c r="AK56"/>
  <c r="AJ56"/>
  <c r="AH56"/>
  <c r="AG56"/>
  <c r="AF56"/>
  <c r="AE56"/>
  <c r="AD56"/>
  <c r="AC56"/>
  <c r="Z56"/>
  <c r="J56"/>
  <c r="I56"/>
  <c r="BJ54"/>
  <c r="BF54"/>
  <c r="BD54"/>
  <c r="AP54"/>
  <c r="I54" s="1"/>
  <c r="AO54"/>
  <c r="AL54"/>
  <c r="AK54"/>
  <c r="AJ54"/>
  <c r="AH54"/>
  <c r="AG54"/>
  <c r="AF54"/>
  <c r="AE54"/>
  <c r="AD54"/>
  <c r="Z54"/>
  <c r="J54"/>
  <c r="BJ52"/>
  <c r="BH52"/>
  <c r="AB52" s="1"/>
  <c r="BF52"/>
  <c r="BD52"/>
  <c r="AP52"/>
  <c r="AO52"/>
  <c r="AW52" s="1"/>
  <c r="AL52"/>
  <c r="AK52"/>
  <c r="AJ52"/>
  <c r="AH52"/>
  <c r="AG52"/>
  <c r="AF52"/>
  <c r="AE52"/>
  <c r="AD52"/>
  <c r="Z52"/>
  <c r="J52"/>
  <c r="H52"/>
  <c r="BJ50"/>
  <c r="BH50"/>
  <c r="AB50" s="1"/>
  <c r="BF50"/>
  <c r="BD50"/>
  <c r="AW50"/>
  <c r="BC50" s="1"/>
  <c r="AP50"/>
  <c r="AX50" s="1"/>
  <c r="AO50"/>
  <c r="AL50"/>
  <c r="AK50"/>
  <c r="AJ50"/>
  <c r="AH50"/>
  <c r="AG50"/>
  <c r="AF50"/>
  <c r="AE50"/>
  <c r="AD50"/>
  <c r="Z50"/>
  <c r="J50"/>
  <c r="H50"/>
  <c r="BJ48"/>
  <c r="BF48"/>
  <c r="BD48"/>
  <c r="AW48"/>
  <c r="AP48"/>
  <c r="AX48" s="1"/>
  <c r="AO48"/>
  <c r="BH48" s="1"/>
  <c r="AB48" s="1"/>
  <c r="AL48"/>
  <c r="AK48"/>
  <c r="AJ48"/>
  <c r="AH48"/>
  <c r="AG48"/>
  <c r="AF48"/>
  <c r="AE48"/>
  <c r="AD48"/>
  <c r="Z48"/>
  <c r="J48"/>
  <c r="H48"/>
  <c r="BJ46"/>
  <c r="BF46"/>
  <c r="BD46"/>
  <c r="AX46"/>
  <c r="AP46"/>
  <c r="BI46" s="1"/>
  <c r="AC46" s="1"/>
  <c r="AO46"/>
  <c r="AW46" s="1"/>
  <c r="AK46"/>
  <c r="AJ46"/>
  <c r="AH46"/>
  <c r="AG46"/>
  <c r="AF46"/>
  <c r="AE46"/>
  <c r="AD46"/>
  <c r="Z46"/>
  <c r="J46"/>
  <c r="AL46" s="1"/>
  <c r="I46"/>
  <c r="BJ44"/>
  <c r="BI44"/>
  <c r="AC44" s="1"/>
  <c r="BF44"/>
  <c r="BD44"/>
  <c r="BC44"/>
  <c r="AX44"/>
  <c r="AW44"/>
  <c r="AP44"/>
  <c r="I44" s="1"/>
  <c r="AO44"/>
  <c r="BH44" s="1"/>
  <c r="AK44"/>
  <c r="AT43" s="1"/>
  <c r="AJ44"/>
  <c r="AH44"/>
  <c r="AG44"/>
  <c r="AF44"/>
  <c r="AE44"/>
  <c r="AD44"/>
  <c r="AB44"/>
  <c r="Z44"/>
  <c r="J44"/>
  <c r="AL44" s="1"/>
  <c r="H44"/>
  <c r="AU43"/>
  <c r="BJ39"/>
  <c r="BF39"/>
  <c r="BD39"/>
  <c r="BC39"/>
  <c r="AX39"/>
  <c r="AW39"/>
  <c r="AV39" s="1"/>
  <c r="AP39"/>
  <c r="BI39" s="1"/>
  <c r="AC39" s="1"/>
  <c r="AO39"/>
  <c r="BH39" s="1"/>
  <c r="AB39" s="1"/>
  <c r="AK39"/>
  <c r="AJ39"/>
  <c r="AH39"/>
  <c r="AG39"/>
  <c r="AF39"/>
  <c r="AE39"/>
  <c r="AD39"/>
  <c r="Z39"/>
  <c r="J39"/>
  <c r="AL39" s="1"/>
  <c r="I39"/>
  <c r="H39"/>
  <c r="BJ37"/>
  <c r="BF37"/>
  <c r="BD37"/>
  <c r="AW37"/>
  <c r="AP37"/>
  <c r="AX37" s="1"/>
  <c r="AO37"/>
  <c r="BH37" s="1"/>
  <c r="AB37" s="1"/>
  <c r="AK37"/>
  <c r="AJ37"/>
  <c r="AH37"/>
  <c r="AG37"/>
  <c r="AF37"/>
  <c r="AE37"/>
  <c r="AD37"/>
  <c r="Z37"/>
  <c r="J37"/>
  <c r="AL37" s="1"/>
  <c r="H37"/>
  <c r="BJ35"/>
  <c r="BF35"/>
  <c r="BD35"/>
  <c r="BC35"/>
  <c r="AX35"/>
  <c r="AW35"/>
  <c r="AV35"/>
  <c r="AP35"/>
  <c r="BI35" s="1"/>
  <c r="AO35"/>
  <c r="BH35" s="1"/>
  <c r="AL35"/>
  <c r="AK35"/>
  <c r="AJ35"/>
  <c r="AH35"/>
  <c r="AG35"/>
  <c r="AF35"/>
  <c r="AE35"/>
  <c r="AD35"/>
  <c r="AC35"/>
  <c r="AB35"/>
  <c r="Z35"/>
  <c r="J35"/>
  <c r="I35"/>
  <c r="H35"/>
  <c r="BJ33"/>
  <c r="BF33"/>
  <c r="BD33"/>
  <c r="AX33"/>
  <c r="AP33"/>
  <c r="BI33" s="1"/>
  <c r="AC33" s="1"/>
  <c r="AO33"/>
  <c r="H33" s="1"/>
  <c r="AL33"/>
  <c r="AK33"/>
  <c r="AJ33"/>
  <c r="AH33"/>
  <c r="AG33"/>
  <c r="AF33"/>
  <c r="AE33"/>
  <c r="AD33"/>
  <c r="Z33"/>
  <c r="J33"/>
  <c r="I33"/>
  <c r="BJ31"/>
  <c r="BF31"/>
  <c r="BD31"/>
  <c r="AX31"/>
  <c r="AP31"/>
  <c r="I31" s="1"/>
  <c r="AO31"/>
  <c r="AK31"/>
  <c r="AJ31"/>
  <c r="AH31"/>
  <c r="AG31"/>
  <c r="AF31"/>
  <c r="AE31"/>
  <c r="AD31"/>
  <c r="Z31"/>
  <c r="J31"/>
  <c r="AL31" s="1"/>
  <c r="BJ29"/>
  <c r="BI29"/>
  <c r="BF29"/>
  <c r="BD29"/>
  <c r="AP29"/>
  <c r="AO29"/>
  <c r="AW29" s="1"/>
  <c r="AL29"/>
  <c r="AK29"/>
  <c r="AJ29"/>
  <c r="AH29"/>
  <c r="AG29"/>
  <c r="AF29"/>
  <c r="AE29"/>
  <c r="AD29"/>
  <c r="AC29"/>
  <c r="Z29"/>
  <c r="J29"/>
  <c r="BJ27"/>
  <c r="BI27"/>
  <c r="AC27" s="1"/>
  <c r="BF27"/>
  <c r="BD27"/>
  <c r="AW27"/>
  <c r="BC27" s="1"/>
  <c r="AP27"/>
  <c r="AX27" s="1"/>
  <c r="AO27"/>
  <c r="BH27" s="1"/>
  <c r="AB27" s="1"/>
  <c r="AL27"/>
  <c r="AK27"/>
  <c r="AT26" s="1"/>
  <c r="AJ27"/>
  <c r="AH27"/>
  <c r="AG27"/>
  <c r="AF27"/>
  <c r="AE27"/>
  <c r="AD27"/>
  <c r="Z27"/>
  <c r="J27"/>
  <c r="I27"/>
  <c r="H27"/>
  <c r="J26"/>
  <c r="BJ24"/>
  <c r="BH24"/>
  <c r="AB24" s="1"/>
  <c r="BF24"/>
  <c r="BD24"/>
  <c r="AP24"/>
  <c r="AO24"/>
  <c r="AW24" s="1"/>
  <c r="AL24"/>
  <c r="AK24"/>
  <c r="AJ24"/>
  <c r="AH24"/>
  <c r="AG24"/>
  <c r="AF24"/>
  <c r="AE24"/>
  <c r="AD24"/>
  <c r="Z24"/>
  <c r="J24"/>
  <c r="H24"/>
  <c r="BJ22"/>
  <c r="BH22"/>
  <c r="AB22" s="1"/>
  <c r="BF22"/>
  <c r="BD22"/>
  <c r="AW22"/>
  <c r="BC22" s="1"/>
  <c r="AP22"/>
  <c r="AX22" s="1"/>
  <c r="AO22"/>
  <c r="AL22"/>
  <c r="AK22"/>
  <c r="AT17" s="1"/>
  <c r="AJ22"/>
  <c r="AH22"/>
  <c r="AG22"/>
  <c r="AF22"/>
  <c r="AE22"/>
  <c r="AD22"/>
  <c r="Z22"/>
  <c r="J22"/>
  <c r="H22"/>
  <c r="BJ20"/>
  <c r="BF20"/>
  <c r="BD20"/>
  <c r="AW20"/>
  <c r="AP20"/>
  <c r="AX20" s="1"/>
  <c r="AO20"/>
  <c r="BH20" s="1"/>
  <c r="AB20" s="1"/>
  <c r="AL20"/>
  <c r="AK20"/>
  <c r="AJ20"/>
  <c r="AH20"/>
  <c r="AG20"/>
  <c r="AF20"/>
  <c r="AE20"/>
  <c r="AD20"/>
  <c r="Z20"/>
  <c r="J20"/>
  <c r="H20"/>
  <c r="BJ18"/>
  <c r="BF18"/>
  <c r="BD18"/>
  <c r="AX18"/>
  <c r="AP18"/>
  <c r="BI18" s="1"/>
  <c r="AC18" s="1"/>
  <c r="AO18"/>
  <c r="AW18" s="1"/>
  <c r="AK18"/>
  <c r="AJ18"/>
  <c r="AH18"/>
  <c r="AG18"/>
  <c r="AF18"/>
  <c r="AE18"/>
  <c r="AD18"/>
  <c r="Z18"/>
  <c r="J18"/>
  <c r="I18"/>
  <c r="BJ15"/>
  <c r="BI15"/>
  <c r="BF15"/>
  <c r="BD15"/>
  <c r="AX15"/>
  <c r="AW15"/>
  <c r="AV15"/>
  <c r="AP15"/>
  <c r="AO15"/>
  <c r="BH15" s="1"/>
  <c r="AB15" s="1"/>
  <c r="AL15"/>
  <c r="AK15"/>
  <c r="AJ15"/>
  <c r="AH15"/>
  <c r="AG15"/>
  <c r="AF15"/>
  <c r="AE15"/>
  <c r="AD15"/>
  <c r="AC15"/>
  <c r="Z15"/>
  <c r="J15"/>
  <c r="I15"/>
  <c r="H15"/>
  <c r="BJ13"/>
  <c r="BF13"/>
  <c r="BD13"/>
  <c r="BC13"/>
  <c r="AX13"/>
  <c r="AW13"/>
  <c r="AV13" s="1"/>
  <c r="AP13"/>
  <c r="BI13" s="1"/>
  <c r="AC13" s="1"/>
  <c r="AO13"/>
  <c r="BH13" s="1"/>
  <c r="AB13" s="1"/>
  <c r="AK13"/>
  <c r="AJ13"/>
  <c r="AH13"/>
  <c r="AG13"/>
  <c r="AF13"/>
  <c r="AE13"/>
  <c r="AD13"/>
  <c r="Z13"/>
  <c r="J13"/>
  <c r="I13"/>
  <c r="I12" s="1"/>
  <c r="H13"/>
  <c r="H12" s="1"/>
  <c r="AT12"/>
  <c r="AU1"/>
  <c r="AT1"/>
  <c r="AS1"/>
  <c r="F22" i="2" l="1"/>
  <c r="AV18" i="1"/>
  <c r="BC18"/>
  <c r="AV46"/>
  <c r="BC46"/>
  <c r="AU26"/>
  <c r="AU58"/>
  <c r="I321"/>
  <c r="BC200"/>
  <c r="AV200"/>
  <c r="AV216"/>
  <c r="H166"/>
  <c r="H165" s="1"/>
  <c r="AW166"/>
  <c r="I301"/>
  <c r="AX301"/>
  <c r="AX304"/>
  <c r="I304"/>
  <c r="I303" s="1"/>
  <c r="I309"/>
  <c r="AX309"/>
  <c r="H54"/>
  <c r="AW54"/>
  <c r="AW190"/>
  <c r="H190"/>
  <c r="H189" s="1"/>
  <c r="J267"/>
  <c r="AL268"/>
  <c r="AU267" s="1"/>
  <c r="I295"/>
  <c r="I294" s="1"/>
  <c r="AX295"/>
  <c r="H304"/>
  <c r="H303" s="1"/>
  <c r="AW304"/>
  <c r="H309"/>
  <c r="AW309"/>
  <c r="H59"/>
  <c r="AW59"/>
  <c r="H295"/>
  <c r="H294" s="1"/>
  <c r="AW295"/>
  <c r="H31"/>
  <c r="AW31"/>
  <c r="I298"/>
  <c r="I297" s="1"/>
  <c r="AX298"/>
  <c r="AV298" s="1"/>
  <c r="I307"/>
  <c r="AX307"/>
  <c r="AV307" s="1"/>
  <c r="AX90"/>
  <c r="I90"/>
  <c r="H128"/>
  <c r="H127" s="1"/>
  <c r="AW128"/>
  <c r="AX173"/>
  <c r="I173"/>
  <c r="I217"/>
  <c r="AX217"/>
  <c r="I232"/>
  <c r="AX232"/>
  <c r="AV37"/>
  <c r="C20" i="2"/>
  <c r="I58" i="1"/>
  <c r="J83"/>
  <c r="BH29"/>
  <c r="AB29" s="1"/>
  <c r="AV44"/>
  <c r="J58"/>
  <c r="BI68"/>
  <c r="AC68" s="1"/>
  <c r="C15" i="2" s="1"/>
  <c r="AV132" i="1"/>
  <c r="AU149"/>
  <c r="BH200"/>
  <c r="AD200" s="1"/>
  <c r="AV227"/>
  <c r="BC323"/>
  <c r="H18"/>
  <c r="H17" s="1"/>
  <c r="AV27"/>
  <c r="AS26"/>
  <c r="BI37"/>
  <c r="AC37" s="1"/>
  <c r="H46"/>
  <c r="H43" s="1"/>
  <c r="BI54"/>
  <c r="AC54" s="1"/>
  <c r="AW62"/>
  <c r="BC73"/>
  <c r="J104"/>
  <c r="AS136"/>
  <c r="J141"/>
  <c r="AT149"/>
  <c r="BC154"/>
  <c r="BC181"/>
  <c r="BC198"/>
  <c r="I202"/>
  <c r="BC210"/>
  <c r="H216"/>
  <c r="H209" s="1"/>
  <c r="BH216"/>
  <c r="AB216" s="1"/>
  <c r="BC229"/>
  <c r="H231"/>
  <c r="BH231"/>
  <c r="AB231" s="1"/>
  <c r="BC239"/>
  <c r="H243"/>
  <c r="BH243"/>
  <c r="AB243" s="1"/>
  <c r="J244"/>
  <c r="AV255"/>
  <c r="BC265"/>
  <c r="BC278"/>
  <c r="BC319"/>
  <c r="AV323"/>
  <c r="BC15"/>
  <c r="BI22"/>
  <c r="AC22" s="1"/>
  <c r="H29"/>
  <c r="H26" s="1"/>
  <c r="AW33"/>
  <c r="BI50"/>
  <c r="AC50" s="1"/>
  <c r="BH54"/>
  <c r="AB54" s="1"/>
  <c r="BI59"/>
  <c r="AC59" s="1"/>
  <c r="I68"/>
  <c r="AV73"/>
  <c r="I75"/>
  <c r="BH84"/>
  <c r="AB84" s="1"/>
  <c r="AV105"/>
  <c r="J124"/>
  <c r="BC134"/>
  <c r="AV142"/>
  <c r="BC144"/>
  <c r="BH166"/>
  <c r="AD166" s="1"/>
  <c r="BH169"/>
  <c r="AD169" s="1"/>
  <c r="BH190"/>
  <c r="AD190" s="1"/>
  <c r="AV194"/>
  <c r="AV198"/>
  <c r="I200"/>
  <c r="BI207"/>
  <c r="AE207" s="1"/>
  <c r="AV210"/>
  <c r="AS209"/>
  <c r="AV229"/>
  <c r="AV239"/>
  <c r="H247"/>
  <c r="H244" s="1"/>
  <c r="BH247"/>
  <c r="AB247" s="1"/>
  <c r="AT244"/>
  <c r="BC260"/>
  <c r="AV265"/>
  <c r="I272"/>
  <c r="I267" s="1"/>
  <c r="BI272"/>
  <c r="AC272" s="1"/>
  <c r="BC298"/>
  <c r="BI301"/>
  <c r="AC301" s="1"/>
  <c r="BI304"/>
  <c r="AG304" s="1"/>
  <c r="BI309"/>
  <c r="AV319"/>
  <c r="I324"/>
  <c r="BI324"/>
  <c r="AC324" s="1"/>
  <c r="I169"/>
  <c r="I168" s="1"/>
  <c r="AX169"/>
  <c r="AV169" s="1"/>
  <c r="AW292"/>
  <c r="H292"/>
  <c r="H291" s="1"/>
  <c r="H94"/>
  <c r="AW94"/>
  <c r="H218"/>
  <c r="AW218"/>
  <c r="AW233"/>
  <c r="H233"/>
  <c r="H301"/>
  <c r="AW301"/>
  <c r="I79"/>
  <c r="AX79"/>
  <c r="AV79" s="1"/>
  <c r="AW176"/>
  <c r="H176"/>
  <c r="H251"/>
  <c r="AW251"/>
  <c r="I52"/>
  <c r="AX52"/>
  <c r="BC52" s="1"/>
  <c r="H90"/>
  <c r="AW90"/>
  <c r="H217"/>
  <c r="AW217"/>
  <c r="H232"/>
  <c r="AW232"/>
  <c r="AX81"/>
  <c r="I81"/>
  <c r="H249"/>
  <c r="AW249"/>
  <c r="J274"/>
  <c r="AL275"/>
  <c r="AU274" s="1"/>
  <c r="BH18"/>
  <c r="AB18" s="1"/>
  <c r="C14" i="2" s="1"/>
  <c r="BH46" i="1"/>
  <c r="AB46" s="1"/>
  <c r="AV22"/>
  <c r="AV50"/>
  <c r="AV196"/>
  <c r="BC247"/>
  <c r="BI20"/>
  <c r="AC20" s="1"/>
  <c r="BI48"/>
  <c r="AC48" s="1"/>
  <c r="AV245"/>
  <c r="I20"/>
  <c r="BI31"/>
  <c r="AC31" s="1"/>
  <c r="AW75"/>
  <c r="J168"/>
  <c r="BH176"/>
  <c r="AD176" s="1"/>
  <c r="C16" i="2" s="1"/>
  <c r="H200" i="1"/>
  <c r="BC203"/>
  <c r="I215"/>
  <c r="I209" s="1"/>
  <c r="BI215"/>
  <c r="AC215" s="1"/>
  <c r="BH218"/>
  <c r="AB218" s="1"/>
  <c r="BI230"/>
  <c r="AC230" s="1"/>
  <c r="BH233"/>
  <c r="AB233" s="1"/>
  <c r="I242"/>
  <c r="BI242"/>
  <c r="AC242" s="1"/>
  <c r="BH304"/>
  <c r="AF304" s="1"/>
  <c r="C18" i="2" s="1"/>
  <c r="I14"/>
  <c r="I22" s="1"/>
  <c r="BC37" i="1"/>
  <c r="AS43"/>
  <c r="BC48"/>
  <c r="BH62"/>
  <c r="AB62" s="1"/>
  <c r="BH79"/>
  <c r="AB79" s="1"/>
  <c r="J136"/>
  <c r="BC147"/>
  <c r="H169"/>
  <c r="AV203"/>
  <c r="I207"/>
  <c r="AV231"/>
  <c r="I245"/>
  <c r="AS244"/>
  <c r="BI245"/>
  <c r="AC245" s="1"/>
  <c r="BH251"/>
  <c r="AB251" s="1"/>
  <c r="BC258"/>
  <c r="AV268"/>
  <c r="BH295"/>
  <c r="BI298"/>
  <c r="AG298" s="1"/>
  <c r="C19" i="2" s="1"/>
  <c r="BI307" i="1"/>
  <c r="BC317"/>
  <c r="AV322"/>
  <c r="C27" i="2"/>
  <c r="AS12" i="1"/>
  <c r="I84"/>
  <c r="I83" s="1"/>
  <c r="AX84"/>
  <c r="BC84" s="1"/>
  <c r="I247"/>
  <c r="AX247"/>
  <c r="AV247" s="1"/>
  <c r="J277"/>
  <c r="AL278"/>
  <c r="AU277" s="1"/>
  <c r="J17"/>
  <c r="AL18"/>
  <c r="AU17" s="1"/>
  <c r="J321"/>
  <c r="AL322"/>
  <c r="AU321" s="1"/>
  <c r="AL203"/>
  <c r="AU202" s="1"/>
  <c r="J202"/>
  <c r="J262"/>
  <c r="AL263"/>
  <c r="AU262" s="1"/>
  <c r="I24"/>
  <c r="AX24"/>
  <c r="BC24" s="1"/>
  <c r="H173"/>
  <c r="AW173"/>
  <c r="AX249"/>
  <c r="I249"/>
  <c r="H302"/>
  <c r="AW302"/>
  <c r="H311"/>
  <c r="AW311"/>
  <c r="J12"/>
  <c r="AL13"/>
  <c r="AU12" s="1"/>
  <c r="I29"/>
  <c r="I26" s="1"/>
  <c r="AX29"/>
  <c r="BC29" s="1"/>
  <c r="H81"/>
  <c r="AW81"/>
  <c r="AW162"/>
  <c r="H162"/>
  <c r="H161" s="1"/>
  <c r="AX166"/>
  <c r="I166"/>
  <c r="I165" s="1"/>
  <c r="AL210"/>
  <c r="AU209" s="1"/>
  <c r="J209"/>
  <c r="I216"/>
  <c r="AX216"/>
  <c r="I231"/>
  <c r="AX231"/>
  <c r="BC231" s="1"/>
  <c r="I243"/>
  <c r="AX243"/>
  <c r="BC243" s="1"/>
  <c r="BC216"/>
  <c r="H297"/>
  <c r="AV215"/>
  <c r="AV230"/>
  <c r="AV242"/>
  <c r="AS17"/>
  <c r="J43"/>
  <c r="BH75"/>
  <c r="AB75" s="1"/>
  <c r="AU189"/>
  <c r="AV237"/>
  <c r="BC270"/>
  <c r="BC275"/>
  <c r="I37"/>
  <c r="I48"/>
  <c r="I43" s="1"/>
  <c r="BH59"/>
  <c r="AB59" s="1"/>
  <c r="BI79"/>
  <c r="AC79" s="1"/>
  <c r="H84"/>
  <c r="H83" s="1"/>
  <c r="AU127"/>
  <c r="J158"/>
  <c r="I230"/>
  <c r="BI295"/>
  <c r="BH301"/>
  <c r="AB301" s="1"/>
  <c r="BH309"/>
  <c r="AS306"/>
  <c r="C21" i="2"/>
  <c r="C17"/>
  <c r="BC20" i="1"/>
  <c r="BH31"/>
  <c r="AB31" s="1"/>
  <c r="C28" i="2"/>
  <c r="F28" s="1"/>
  <c r="AV20" i="1"/>
  <c r="I22"/>
  <c r="I17" s="1"/>
  <c r="BI24"/>
  <c r="AC24" s="1"/>
  <c r="BH33"/>
  <c r="AB33" s="1"/>
  <c r="AV48"/>
  <c r="I50"/>
  <c r="BI52"/>
  <c r="AC52" s="1"/>
  <c r="AX54"/>
  <c r="AV68"/>
  <c r="H79"/>
  <c r="AV100"/>
  <c r="AV137"/>
  <c r="BC207"/>
  <c r="AT209"/>
  <c r="AV228"/>
  <c r="AV238"/>
  <c r="AV263"/>
  <c r="BC272"/>
  <c r="AV282"/>
  <c r="J306"/>
  <c r="BC324"/>
  <c r="AX94"/>
  <c r="AW98"/>
  <c r="AW125"/>
  <c r="AX128"/>
  <c r="AW130"/>
  <c r="H147"/>
  <c r="H146" s="1"/>
  <c r="I150"/>
  <c r="I149" s="1"/>
  <c r="AW150"/>
  <c r="H154"/>
  <c r="H149" s="1"/>
  <c r="I159"/>
  <c r="I158" s="1"/>
  <c r="AW159"/>
  <c r="AX162"/>
  <c r="AX176"/>
  <c r="I179"/>
  <c r="AW179"/>
  <c r="H181"/>
  <c r="I185"/>
  <c r="I184" s="1"/>
  <c r="AW185"/>
  <c r="AX190"/>
  <c r="I192"/>
  <c r="AW192"/>
  <c r="H194"/>
  <c r="AX218"/>
  <c r="I219"/>
  <c r="AW219"/>
  <c r="H227"/>
  <c r="AX233"/>
  <c r="I234"/>
  <c r="AW234"/>
  <c r="H237"/>
  <c r="AX251"/>
  <c r="I253"/>
  <c r="AW253"/>
  <c r="H255"/>
  <c r="H282"/>
  <c r="H281" s="1"/>
  <c r="I289"/>
  <c r="I288" s="1"/>
  <c r="AW289"/>
  <c r="AX292"/>
  <c r="AX302"/>
  <c r="AX311"/>
  <c r="I313"/>
  <c r="AW313"/>
  <c r="H315"/>
  <c r="H306" s="1"/>
  <c r="C22" i="2" l="1"/>
  <c r="AV150" i="1"/>
  <c r="BC150"/>
  <c r="AV173"/>
  <c r="BC173"/>
  <c r="BC75"/>
  <c r="AV75"/>
  <c r="AV233"/>
  <c r="BC233"/>
  <c r="AV309"/>
  <c r="BC309"/>
  <c r="AV251"/>
  <c r="BC251"/>
  <c r="AV313"/>
  <c r="BC313"/>
  <c r="AV159"/>
  <c r="BC159"/>
  <c r="AV301"/>
  <c r="BC301"/>
  <c r="AV81"/>
  <c r="BC81"/>
  <c r="AV302"/>
  <c r="BC302"/>
  <c r="AV62"/>
  <c r="BC62"/>
  <c r="AV295"/>
  <c r="BC295"/>
  <c r="I306"/>
  <c r="BC307"/>
  <c r="C29" i="2"/>
  <c r="F29" s="1"/>
  <c r="I189" i="1"/>
  <c r="AV29"/>
  <c r="AV24"/>
  <c r="AV219"/>
  <c r="BC219"/>
  <c r="AV232"/>
  <c r="BC232"/>
  <c r="AV33"/>
  <c r="BC33"/>
  <c r="AV98"/>
  <c r="BC98"/>
  <c r="AV192"/>
  <c r="BC192"/>
  <c r="AV249"/>
  <c r="BC249"/>
  <c r="AV90"/>
  <c r="BC90"/>
  <c r="AV94"/>
  <c r="BC94"/>
  <c r="AV243"/>
  <c r="AV84"/>
  <c r="H168"/>
  <c r="AV52"/>
  <c r="AV253"/>
  <c r="BC253"/>
  <c r="AV292"/>
  <c r="BC292"/>
  <c r="AV234"/>
  <c r="BC234"/>
  <c r="AV130"/>
  <c r="BC130"/>
  <c r="AV311"/>
  <c r="BC311"/>
  <c r="AV176"/>
  <c r="BC176"/>
  <c r="AV128"/>
  <c r="BC128"/>
  <c r="AV31"/>
  <c r="BC31"/>
  <c r="AV304"/>
  <c r="BC304"/>
  <c r="AV54"/>
  <c r="BC54"/>
  <c r="AV166"/>
  <c r="BC166"/>
  <c r="I244"/>
  <c r="BC169"/>
  <c r="BC79"/>
  <c r="AV185"/>
  <c r="BC185"/>
  <c r="AV59"/>
  <c r="BC59"/>
  <c r="AV125"/>
  <c r="BC125"/>
  <c r="AV289"/>
  <c r="BC289"/>
  <c r="AV162"/>
  <c r="BC162"/>
  <c r="AV179"/>
  <c r="BC179"/>
  <c r="AV217"/>
  <c r="BC217"/>
  <c r="AV218"/>
  <c r="BC218"/>
  <c r="AV190"/>
  <c r="BC190"/>
  <c r="H58"/>
  <c r="J325"/>
  <c r="I28" i="2" l="1"/>
  <c r="I29" s="1"/>
</calcChain>
</file>

<file path=xl/sharedStrings.xml><?xml version="1.0" encoding="utf-8"?>
<sst xmlns="http://schemas.openxmlformats.org/spreadsheetml/2006/main" count="2117" uniqueCount="692">
  <si>
    <t>Slepý stavební rozpočet</t>
  </si>
  <si>
    <t>Název stavby:</t>
  </si>
  <si>
    <t>NOVÁ PŘÍPOJKA TERMÁLNÍ VODY PRO AQUACENTRUM TEPLICE</t>
  </si>
  <si>
    <t>Doba výstavby:</t>
  </si>
  <si>
    <t xml:space="preserve"> </t>
  </si>
  <si>
    <t>Objednatel:</t>
  </si>
  <si>
    <t>AQUACENTRUM p.o., TEPLICE</t>
  </si>
  <si>
    <t>Druh stavby:</t>
  </si>
  <si>
    <t>SO 01 - OTV z LDB do ČS</t>
  </si>
  <si>
    <t>Začátek výstavby:</t>
  </si>
  <si>
    <t>Projektant:</t>
  </si>
  <si>
    <t>CHEMINVEST</t>
  </si>
  <si>
    <t>Lokalita:</t>
  </si>
  <si>
    <t>AQUACENTRUM TEPLICE</t>
  </si>
  <si>
    <t>Konec výstavby:</t>
  </si>
  <si>
    <t>Zhotovitel:</t>
  </si>
  <si>
    <t> </t>
  </si>
  <si>
    <t>JKSO:</t>
  </si>
  <si>
    <t>Zpracováno dne:</t>
  </si>
  <si>
    <t>29.08.2024</t>
  </si>
  <si>
    <t>Zpracoval:</t>
  </si>
  <si>
    <t>Kamila Možná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</si>
  <si>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</si>
  <si>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</si>
  <si>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</si>
  <si>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</si>
  <si>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</si>
  <si>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</si>
  <si>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</si>
  <si>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</si>
  <si>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</si>
  <si>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</si>
  <si>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</si>
  <si>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</si>
  <si>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</si>
  <si>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</si>
  <si>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</si>
  <si>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</si>
  <si>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</si>
  <si>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</si>
  <si>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</si>
  <si>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</si>
  <si>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</si>
  <si>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</si>
  <si>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</si>
  <si>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</si>
  <si>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</si>
  <si>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</si>
  <si>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</si>
  <si>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</si>
  <si>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</si>
  <si>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</si>
  <si>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</si>
  <si>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</si>
  <si>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</si>
  <si>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001111111VD</t>
  </si>
  <si>
    <t>Vytýčení a vyznačení sítí včetně dozoru správců sítí</t>
  </si>
  <si>
    <t>kompl</t>
  </si>
  <si>
    <t>0_</t>
  </si>
  <si>
    <t>_</t>
  </si>
  <si>
    <t>1;Vytýčení a vyznačení sítí včetně dozoru správců sítí;</t>
  </si>
  <si>
    <t>2</t>
  </si>
  <si>
    <t>001221142VD</t>
  </si>
  <si>
    <t>Použití jeřábu pro osazení šachty</t>
  </si>
  <si>
    <t>1;použití jeřábu;</t>
  </si>
  <si>
    <t>11</t>
  </si>
  <si>
    <t>Přípravné a přidružené práce</t>
  </si>
  <si>
    <t>3</t>
  </si>
  <si>
    <t>119001421R00</t>
  </si>
  <si>
    <t>Dočasné zajištění kabelů - do počtu 3 kabelů</t>
  </si>
  <si>
    <t>m</t>
  </si>
  <si>
    <t>RTS I / 2024</t>
  </si>
  <si>
    <t>11_</t>
  </si>
  <si>
    <t>1_</t>
  </si>
  <si>
    <t>1;zajištění kabelů;</t>
  </si>
  <si>
    <t>4</t>
  </si>
  <si>
    <t>119001412R00</t>
  </si>
  <si>
    <t>Dočasné zajištění beton.a plast.potrubí DN 200-500</t>
  </si>
  <si>
    <t>5</t>
  </si>
  <si>
    <t>113108305R00</t>
  </si>
  <si>
    <t>Odstranění asfaltové vrstvy chodníku pl.do 50 m2, tl. 5 cm</t>
  </si>
  <si>
    <t>m2</t>
  </si>
  <si>
    <t>9</t>
  </si>
  <si>
    <t>6</t>
  </si>
  <si>
    <t>113107510R00</t>
  </si>
  <si>
    <t>Odstranění podkladu pl. 50 m2,kam.drcené tl.10 cm</t>
  </si>
  <si>
    <t>13</t>
  </si>
  <si>
    <t>Hloubené vykopávky</t>
  </si>
  <si>
    <t>7</t>
  </si>
  <si>
    <t>131301201R00</t>
  </si>
  <si>
    <t>Hloubení zapažených jam v hor.4 do 100 m3</t>
  </si>
  <si>
    <t>m3</t>
  </si>
  <si>
    <t>13_</t>
  </si>
  <si>
    <t>5,5*4,7*2,95;výkop;</t>
  </si>
  <si>
    <t>8</t>
  </si>
  <si>
    <t>131301209R00</t>
  </si>
  <si>
    <t>Příplatek za lepivost - hloubení zapaž.jam v hor.4</t>
  </si>
  <si>
    <t>76,2575*0,2;příplatek 20%;</t>
  </si>
  <si>
    <t>131301110R00</t>
  </si>
  <si>
    <t>Hloubení nezapaž. jam hor.4 do 50 m3, STROJNĚ</t>
  </si>
  <si>
    <t>3,9*3,1*0,156;pro podklad;</t>
  </si>
  <si>
    <t>10</t>
  </si>
  <si>
    <t>132200112RA0</t>
  </si>
  <si>
    <t>Hloubení zapaž.rýh šířky.do 200 cm v hornině.1-4</t>
  </si>
  <si>
    <t>82,2*1*1,45+1,16*1*3,9;PP;</t>
  </si>
  <si>
    <t>132301219R00</t>
  </si>
  <si>
    <t>Přípl.za lepivost,hloubení rýh 200cm,hor.4,STROJNĚ</t>
  </si>
  <si>
    <t>123,714/100*20;příplatek 20%;</t>
  </si>
  <si>
    <t>12</t>
  </si>
  <si>
    <t>132303323R00</t>
  </si>
  <si>
    <t>Hloubení rýh pro drény, hloubky do 2,0 m, v hor.4</t>
  </si>
  <si>
    <t>137,9</t>
  </si>
  <si>
    <t>139600013RA0</t>
  </si>
  <si>
    <t>Ruční výkop v hornině 4</t>
  </si>
  <si>
    <t>50,6*1*1,6;pod stromy;</t>
  </si>
  <si>
    <t>4*1*1,6;křížení s IS;</t>
  </si>
  <si>
    <t>;viz výkres výkopových prací - 1;</t>
  </si>
  <si>
    <t>15</t>
  </si>
  <si>
    <t>Roubení</t>
  </si>
  <si>
    <t>14</t>
  </si>
  <si>
    <t>151811617R00</t>
  </si>
  <si>
    <t>Montáž pažic.boxu standard dl.3m, š.3,5m, hl.3,57m</t>
  </si>
  <si>
    <t>kus</t>
  </si>
  <si>
    <t>15_</t>
  </si>
  <si>
    <t>151813617R00</t>
  </si>
  <si>
    <t>Dmtž pažicího boxu standard dl.3m, š.3,5m,hl.3,57m</t>
  </si>
  <si>
    <t>16</t>
  </si>
  <si>
    <t>151812614R00</t>
  </si>
  <si>
    <t>Pronájem lehkého pažic.boxu dl.3m, š.3,5m,hl.3,27m</t>
  </si>
  <si>
    <t>den</t>
  </si>
  <si>
    <t>30</t>
  </si>
  <si>
    <t>17</t>
  </si>
  <si>
    <t>151101101R00</t>
  </si>
  <si>
    <t>Pažení a rozepření stěn rýh - příložné - hl.do 2 m</t>
  </si>
  <si>
    <t>136,74*1,45*2;pažení;</t>
  </si>
  <si>
    <t>18</t>
  </si>
  <si>
    <t>151101111R00</t>
  </si>
  <si>
    <t>Odstranění pažení stěn rýh - příložné - hl. do 2 m</t>
  </si>
  <si>
    <t>396,546;viz pažení;</t>
  </si>
  <si>
    <t>19</t>
  </si>
  <si>
    <t>151101102R00</t>
  </si>
  <si>
    <t>Pažení a rozepření stěn rýh - příložné - hl.do 4 m</t>
  </si>
  <si>
    <t>1,16*2,5*2;pažení;</t>
  </si>
  <si>
    <t>20</t>
  </si>
  <si>
    <t>151101112R00</t>
  </si>
  <si>
    <t>Odstranění pažení stěn rýh - příložné - hl. do 4 m</t>
  </si>
  <si>
    <t>5,8;viz pažení;</t>
  </si>
  <si>
    <t>Přemístění výkopku</t>
  </si>
  <si>
    <t>21</t>
  </si>
  <si>
    <t>161101102R00</t>
  </si>
  <si>
    <t>Svislé přemístění výkopku z hor.1-4 do 4,0 m - jáma</t>
  </si>
  <si>
    <t>16_</t>
  </si>
  <si>
    <t>76,2575;viz hloubení zapaž. jam;</t>
  </si>
  <si>
    <t>1,88604;viz hloubení nezapaž. jam;</t>
  </si>
  <si>
    <t>22</t>
  </si>
  <si>
    <t>161101101R00</t>
  </si>
  <si>
    <t>Svislé přemístění výkopku z hor.1-4 do 2,5 m - rýha</t>
  </si>
  <si>
    <t>123,714+87,36;viz rýha;</t>
  </si>
  <si>
    <t>12,411;lože trativodu;</t>
  </si>
  <si>
    <t>23</t>
  </si>
  <si>
    <t>167101102R00</t>
  </si>
  <si>
    <t>Nakládání výkopku z hor. 1 ÷ 4 v množství nad 100 m3 - odvoz na mezideponii</t>
  </si>
  <si>
    <t>50,49954;pro zásyp jámy;</t>
  </si>
  <si>
    <t>144,24573;pro zásyp rýhy;</t>
  </si>
  <si>
    <t>24</t>
  </si>
  <si>
    <t>162301101R00</t>
  </si>
  <si>
    <t>Vodorovné přemístění výkopku z hor.1-4 do 500 m - na mezideponii</t>
  </si>
  <si>
    <t>194,74527;viz nakládání;</t>
  </si>
  <si>
    <t>25</t>
  </si>
  <si>
    <t>Nakládání výkopku z hor. 1 ÷ 4 v množství nad 100 m3 - odvoz z mezideponie</t>
  </si>
  <si>
    <t>26</t>
  </si>
  <si>
    <t>Vodorovné přemístění výkopku z hor.1-4 do 500 m - z mezideponie</t>
  </si>
  <si>
    <t>27</t>
  </si>
  <si>
    <t>Nakládání výkopku z hor. 1 ÷ 4 v množství nad 100 m3 - odvoz na skládku</t>
  </si>
  <si>
    <t>78,14354+223,485;viz svislé přemístění;</t>
  </si>
  <si>
    <t>-50,49954;viz zásyp šachty;</t>
  </si>
  <si>
    <t>-144,24573;viz zásyp rýhy;</t>
  </si>
  <si>
    <t>28</t>
  </si>
  <si>
    <t>162301102R00</t>
  </si>
  <si>
    <t>Vodorovné přemístění výkopku z hor.1-4 do 1000 m</t>
  </si>
  <si>
    <t>106,88363;viz nakládání na skládku;</t>
  </si>
  <si>
    <t>29</t>
  </si>
  <si>
    <t>162701109R00</t>
  </si>
  <si>
    <t>Příplatek k vod. přemístění hor.1-4 za další 1 km</t>
  </si>
  <si>
    <t>106,88363*19;odvoz celkem do 20km;</t>
  </si>
  <si>
    <t>Konstrukce ze zemin</t>
  </si>
  <si>
    <t>174101101R00</t>
  </si>
  <si>
    <t>Zásyp odbočovací šachty se zhutněním</t>
  </si>
  <si>
    <t>17_</t>
  </si>
  <si>
    <t>78,14354;viz svislé přemístění;</t>
  </si>
  <si>
    <t>-1,8135;viz podkladová vrstva ze štěrkopísku;</t>
  </si>
  <si>
    <t>-1,8135;viz podkladová základová deska;</t>
  </si>
  <si>
    <t>-3,5*2,7*2,5;viz šachta;</t>
  </si>
  <si>
    <t>-1,4*1,4*0,2;viz vstup do šachty;</t>
  </si>
  <si>
    <t>31</t>
  </si>
  <si>
    <t>175100020RAD</t>
  </si>
  <si>
    <t>Obsyp potrubí štěrkopískem</t>
  </si>
  <si>
    <t>137,9*1*(0,14+0,3)</t>
  </si>
  <si>
    <t>-3,14*0,14*0,14/4*137,9</t>
  </si>
  <si>
    <t>;obsyp;</t>
  </si>
  <si>
    <t>32</t>
  </si>
  <si>
    <t>Zásyp rýh se zhutněním</t>
  </si>
  <si>
    <t>223,485;viz hloubení rýh;</t>
  </si>
  <si>
    <t>-20,685;viz lože;</t>
  </si>
  <si>
    <t>-58,55427;viz obsyp;</t>
  </si>
  <si>
    <t>33</t>
  </si>
  <si>
    <t>171201201R00</t>
  </si>
  <si>
    <t>Uložení sypaniny na mezideponii</t>
  </si>
  <si>
    <t>34</t>
  </si>
  <si>
    <t>Uložení sypaniny na skl.-sypanina na výšku přes 2m</t>
  </si>
  <si>
    <t>35</t>
  </si>
  <si>
    <t>199000002R00</t>
  </si>
  <si>
    <t>Poplatek za skládku horniny 1- 4, č. dle katal. odpadů 17 05 04</t>
  </si>
  <si>
    <t>106,88363;viz uložení;</t>
  </si>
  <si>
    <t>Povrchové úpravy terénu</t>
  </si>
  <si>
    <t>36</t>
  </si>
  <si>
    <t>184111100VD</t>
  </si>
  <si>
    <t>Ošetření a ochrana stromů</t>
  </si>
  <si>
    <t>18_</t>
  </si>
  <si>
    <t>4;stromy;</t>
  </si>
  <si>
    <t>Při hloubení výkopů v blízkosti dřevin, které mají být zachovány,</t>
  </si>
  <si>
    <t>se musí zachovávat určité zásady: výkop se nesmí při tom vést blíže než 2,5m od paty kmene.</t>
  </si>
  <si>
    <t>Při hloubení nesmí být přerušeny  kořeny o průměru větším než 3cm.</t>
  </si>
  <si>
    <t>Případná poranění je nutno ošetřit. Kořeny je možno přerušit pouze řezem</t>
  </si>
  <si>
    <t>a řezná místa zahladit. Konce kořenů o průměru menším než 2cm je nutno ošetři</t>
  </si>
  <si>
    <t>růstovými stimulátory, kořeny o průměru větším než 2 cm je nutno ošetřit přípravky k ošetření ran.</t>
  </si>
  <si>
    <t>Kořeny je nutno chránit před vysycháním a před účinky mrazu. Ochrana:</t>
  </si>
  <si>
    <t>Vysychání nejvíce urychluje slunce, vítr a mráz. Kořeny je nutno přikrýt zeminou a zalít.</t>
  </si>
  <si>
    <t>Pokud to není možné, musí se kořeny překrýt textilií, udržující vlhkost a zabraňující působení slunce a mrazu.</t>
  </si>
  <si>
    <t>Kořeny musí být udržovány vlhké. Kořeny v jámách, rýhách, nebo prokopávkách omotáme textilií,</t>
  </si>
  <si>
    <t>zvlhčíme ji a pak obalíme materiálem, který brání výparu.Lepší ochranou je bandáž z jílové kaše,</t>
  </si>
  <si>
    <t>juty a materiálu bránícímu výparu. Kořeny v úzkých rýhách chráníme zakrytím celé rýhy.</t>
  </si>
  <si>
    <t>Zrnitost zásypových materiálů a míra jejich zhutnění musí zabezpečovat</t>
  </si>
  <si>
    <t>trvalé provzdušňování nutné pro regeneraci poškozených kořenů.</t>
  </si>
  <si>
    <t>V závislosti na ztrátě kořenů může nastat potřeba ukotvit dřevinu, provést vyrovnávací řez  v koruně,</t>
  </si>
  <si>
    <t>nebo provést oba zásahy současně. Při nepevné půdě a u hlubokých hloubených výkopů</t>
  </si>
  <si>
    <t>je nutné zajistit strom proti sesuvu vhodným technickým opatřením např. začepováním.</t>
  </si>
  <si>
    <t>Úprava podloží a základové spáry</t>
  </si>
  <si>
    <t>37</t>
  </si>
  <si>
    <t>212572111R00</t>
  </si>
  <si>
    <t>Lože trativodu ze štěrkopísku tříděného</t>
  </si>
  <si>
    <t>21_</t>
  </si>
  <si>
    <t>2_</t>
  </si>
  <si>
    <t>137,9*0,3*0,3</t>
  </si>
  <si>
    <t>Základy</t>
  </si>
  <si>
    <t>38</t>
  </si>
  <si>
    <t>273321311R00</t>
  </si>
  <si>
    <t>Železobeton základových desek C 16/20</t>
  </si>
  <si>
    <t>27_</t>
  </si>
  <si>
    <t>3,9*3,1*0,15;podkladní deska;</t>
  </si>
  <si>
    <t>39</t>
  </si>
  <si>
    <t>273351215R00</t>
  </si>
  <si>
    <t>Bednění stěn základových desek - zřízení</t>
  </si>
  <si>
    <t>(3,9+3,1)*2*0,15;podkladní deska;</t>
  </si>
  <si>
    <t>40</t>
  </si>
  <si>
    <t>273351216R00</t>
  </si>
  <si>
    <t>Bednění stěn základových desek - odstranění</t>
  </si>
  <si>
    <t>2,1;viz zřízení;</t>
  </si>
  <si>
    <t>41</t>
  </si>
  <si>
    <t>273362021R00</t>
  </si>
  <si>
    <t>Výztuž základových desek ze svařovaných sití KARI</t>
  </si>
  <si>
    <t>t</t>
  </si>
  <si>
    <t>3,9*3,1*8/1000;podkladní deska;</t>
  </si>
  <si>
    <t>343</t>
  </si>
  <si>
    <t>Průchodka</t>
  </si>
  <si>
    <t>42</t>
  </si>
  <si>
    <t>343111100VD</t>
  </si>
  <si>
    <t>Instalace průchodky včetně opravy hydroizolace vnější stěny</t>
  </si>
  <si>
    <t>343_</t>
  </si>
  <si>
    <t>3_</t>
  </si>
  <si>
    <t>1;průchodka;</t>
  </si>
  <si>
    <t>43</t>
  </si>
  <si>
    <t>343111101VD</t>
  </si>
  <si>
    <t>Průchodka do šachty</t>
  </si>
  <si>
    <t>3;průchodka;</t>
  </si>
  <si>
    <t>45</t>
  </si>
  <si>
    <t>Podkladní a vedlejší konstrukce (kromě vozovek a železničního svršku)</t>
  </si>
  <si>
    <t>44</t>
  </si>
  <si>
    <t>451572111R00</t>
  </si>
  <si>
    <t>Lože pod potrubí z písku</t>
  </si>
  <si>
    <t>45_</t>
  </si>
  <si>
    <t>4_</t>
  </si>
  <si>
    <t>137,9*1*0,15;lože;</t>
  </si>
  <si>
    <t>460300006R00</t>
  </si>
  <si>
    <t>Hutnění lože</t>
  </si>
  <si>
    <t>20,685;viz lože;</t>
  </si>
  <si>
    <t>57</t>
  </si>
  <si>
    <t>Kryty pozemních komunikací, letišť a ploch z kameniva nebo živičné</t>
  </si>
  <si>
    <t>46</t>
  </si>
  <si>
    <t>578100010RA0</t>
  </si>
  <si>
    <t>Chodník z litého asfaltu</t>
  </si>
  <si>
    <t>57_</t>
  </si>
  <si>
    <t>5_</t>
  </si>
  <si>
    <t>9;viz odstranění;</t>
  </si>
  <si>
    <t>61</t>
  </si>
  <si>
    <t>Úprava povrchů vnitřní</t>
  </si>
  <si>
    <t>47</t>
  </si>
  <si>
    <t>612421221R00</t>
  </si>
  <si>
    <t>Oprava omítek stěn do 10 % pl. - hladkých</t>
  </si>
  <si>
    <t>61_</t>
  </si>
  <si>
    <t>6_</t>
  </si>
  <si>
    <t>(2,425+4)*2*0,9-0,96*0,4*2;002;</t>
  </si>
  <si>
    <t>(5+4)*2*0,9-0,96*0,4+(0,86+0,56)*2*1,05;003;</t>
  </si>
  <si>
    <t>S2</t>
  </si>
  <si>
    <t>48</t>
  </si>
  <si>
    <t>611421221R00</t>
  </si>
  <si>
    <t>Oprava omítek stropů do 10% plochy - hladkých</t>
  </si>
  <si>
    <t>9,9;002;</t>
  </si>
  <si>
    <t>18,5;003;</t>
  </si>
  <si>
    <t>62</t>
  </si>
  <si>
    <t>Úprava povrchů vnější</t>
  </si>
  <si>
    <t>49</t>
  </si>
  <si>
    <t>622471112R00</t>
  </si>
  <si>
    <t>Nátěr vnějších stěn algicidní a fungicidní</t>
  </si>
  <si>
    <t>62_</t>
  </si>
  <si>
    <t>(1,175+2,5*2)*2,5-0,96*2,02+4,5*1,5*2*2;001;</t>
  </si>
  <si>
    <t>711</t>
  </si>
  <si>
    <t>Izolace proti vodě</t>
  </si>
  <si>
    <t>50</t>
  </si>
  <si>
    <t>711141559RZ3</t>
  </si>
  <si>
    <t>Provedení izolace proti vlhkosti na ploše vodorovné, asfaltovými pásy přitavením, 1 vrstva - včetně dodávky</t>
  </si>
  <si>
    <t>711_</t>
  </si>
  <si>
    <t>71_</t>
  </si>
  <si>
    <t>3,9*3,1;hydroizolační vrstva;</t>
  </si>
  <si>
    <t>12,09*0,1;prořez;</t>
  </si>
  <si>
    <t>767</t>
  </si>
  <si>
    <t>Konstrukce doplňkové stavební (zámečnické)</t>
  </si>
  <si>
    <t>51</t>
  </si>
  <si>
    <t>767995153VD</t>
  </si>
  <si>
    <t>Žebřík nerezový, šíře 400mm, délka 2,4m včetně kotvení</t>
  </si>
  <si>
    <t>767_</t>
  </si>
  <si>
    <t>76_</t>
  </si>
  <si>
    <t>1;žebřík;</t>
  </si>
  <si>
    <t>771</t>
  </si>
  <si>
    <t>Podlahy z dlaždic</t>
  </si>
  <si>
    <t>52</t>
  </si>
  <si>
    <t>771100010RA0</t>
  </si>
  <si>
    <t>Vyrovnání podk.samoniv.hmotou</t>
  </si>
  <si>
    <t>771_</t>
  </si>
  <si>
    <t>77_</t>
  </si>
  <si>
    <t>P1 - S4, S5</t>
  </si>
  <si>
    <t>53</t>
  </si>
  <si>
    <t>771101210RT2</t>
  </si>
  <si>
    <t>Penetrace podkladu pod dlažby</t>
  </si>
  <si>
    <t>28,4;viz vyrovnání;</t>
  </si>
  <si>
    <t>54</t>
  </si>
  <si>
    <t>771575107RT2</t>
  </si>
  <si>
    <t xml:space="preserve">Montáž podlah keram.,režné hladké, tmel	</t>
  </si>
  <si>
    <t>55</t>
  </si>
  <si>
    <t>597000002VD</t>
  </si>
  <si>
    <t>Dlažba protiskluzová keramická</t>
  </si>
  <si>
    <t>30;viz pokládka - P1;</t>
  </si>
  <si>
    <t>56</t>
  </si>
  <si>
    <t>771990010RA0</t>
  </si>
  <si>
    <t>Vybourání keramické nebo teracové dlažby</t>
  </si>
  <si>
    <t>781</t>
  </si>
  <si>
    <t>Obklady (keramické)</t>
  </si>
  <si>
    <t>781110012VD</t>
  </si>
  <si>
    <t>Oprava ker. obkladu nádrže</t>
  </si>
  <si>
    <t>781_</t>
  </si>
  <si>
    <t>78_</t>
  </si>
  <si>
    <t>44,28*0,2;plocha nádrže x 20% - odhad z celkové plochy;</t>
  </si>
  <si>
    <t>odstranění obkladu, přebroušení podkladu, penetrace, nový obklad</t>
  </si>
  <si>
    <t>lepidlo do vlhkého prostředí, spárování</t>
  </si>
  <si>
    <t>783</t>
  </si>
  <si>
    <t>Nátěry</t>
  </si>
  <si>
    <t>58</t>
  </si>
  <si>
    <t>783824120R00</t>
  </si>
  <si>
    <t>Nátěr betonových povrchů protiskluzový včetně drobných oprav</t>
  </si>
  <si>
    <t>783_</t>
  </si>
  <si>
    <t>19*0,18*1,175+18*0,27*1,175+1,175*1,2;001 - S7;</t>
  </si>
  <si>
    <t>59</t>
  </si>
  <si>
    <t>783904811R00</t>
  </si>
  <si>
    <t>Odrezivění kovových konstrukcí</t>
  </si>
  <si>
    <t>5*(0,15*3+0,24*2);003 - S7;</t>
  </si>
  <si>
    <t>60</t>
  </si>
  <si>
    <t>783903811R00</t>
  </si>
  <si>
    <t>Odmaštění chemickými rozpouštědly</t>
  </si>
  <si>
    <t>4,65;viz odrezivění;</t>
  </si>
  <si>
    <t>783101811R00</t>
  </si>
  <si>
    <t>Odstranění nátěrů z ocel.konstrukcí oškrábáním</t>
  </si>
  <si>
    <t>783122110R00</t>
  </si>
  <si>
    <t>Nátěr syntetický OK dvojnásobný</t>
  </si>
  <si>
    <t>4,65;viz odrezivění - S7;</t>
  </si>
  <si>
    <t>63</t>
  </si>
  <si>
    <t>783122710R00</t>
  </si>
  <si>
    <t>Nátěr syntetický OK základní</t>
  </si>
  <si>
    <t>784</t>
  </si>
  <si>
    <t>Malby</t>
  </si>
  <si>
    <t>64</t>
  </si>
  <si>
    <t>784151101R00</t>
  </si>
  <si>
    <t>Penetrace podkladu 1 x</t>
  </si>
  <si>
    <t>784_</t>
  </si>
  <si>
    <t>29,595;viz oprava omítek stěn;</t>
  </si>
  <si>
    <t>28,4;viz oprava omítek stropů;</t>
  </si>
  <si>
    <t>S3</t>
  </si>
  <si>
    <t>65</t>
  </si>
  <si>
    <t>784165611R00</t>
  </si>
  <si>
    <t>Malba omyvat., bílá, bez penetrace, 1x</t>
  </si>
  <si>
    <t>57,995;viz penetrace - S3;</t>
  </si>
  <si>
    <t>85</t>
  </si>
  <si>
    <t>Tvarovky</t>
  </si>
  <si>
    <t>66</t>
  </si>
  <si>
    <t>857601102RT1</t>
  </si>
  <si>
    <t>Montáž tvarovek DN 100</t>
  </si>
  <si>
    <t>85_</t>
  </si>
  <si>
    <t>8_</t>
  </si>
  <si>
    <t>2;Elektrospojka WAVIN SDR11 PE100 D110 PN10/16;</t>
  </si>
  <si>
    <t>2;Lemový nákružek A WAVIN SDR17 PE100 D110 PN5/10;</t>
  </si>
  <si>
    <t>2;Příruba PP-OCEL WAVIN D110 PN10/16;</t>
  </si>
  <si>
    <t>1;Uzav. klapka TTV s el. pohonem 2094E-DN100-PN16 W;</t>
  </si>
  <si>
    <t>67</t>
  </si>
  <si>
    <t>286231132VD</t>
  </si>
  <si>
    <t>Elektrospojka WAVIN SDR11 PE100 D110 PN10/16</t>
  </si>
  <si>
    <t>68</t>
  </si>
  <si>
    <t>286231135VD</t>
  </si>
  <si>
    <t>Lemový nákružek A WAVIN SDR17 PE100 D110 PN5/10</t>
  </si>
  <si>
    <t>69</t>
  </si>
  <si>
    <t>286231138VD</t>
  </si>
  <si>
    <t>Příruba PP-OCEL WAVIN D110 PN10/16</t>
  </si>
  <si>
    <t>70</t>
  </si>
  <si>
    <t>286231142VD</t>
  </si>
  <si>
    <t>Uzav. klapka TTV s el. pohonem 2094E-DN100-PN16 W</t>
  </si>
  <si>
    <t>71</t>
  </si>
  <si>
    <t>857601105R00</t>
  </si>
  <si>
    <t>Montáž tvarovek DN 200</t>
  </si>
  <si>
    <t>1;Elektrokus T kus reduk. WAVIN PE100 D200-110 PN10/16;</t>
  </si>
  <si>
    <t>2;Elektrokus T kus WAVIN PE100 D200 PN10/16;</t>
  </si>
  <si>
    <t>7;Elektrospojka WAVIN SDR17 PE100 D200 PN10/16;</t>
  </si>
  <si>
    <t>2;Koleno 90st. WAVIN SDR17 PE100 D200 PN5/10;</t>
  </si>
  <si>
    <t>4;Lemový nákružek A WAVIN SDR17 PE100 D200 PN5/10;</t>
  </si>
  <si>
    <t>4;Příruba PP-OCEL WAVIN D200 PN16;</t>
  </si>
  <si>
    <t>2;Uzav. klapka TTV s el. pohonem 2034E-DN200-PN16 W;</t>
  </si>
  <si>
    <t>72</t>
  </si>
  <si>
    <t>286231130VD</t>
  </si>
  <si>
    <t>Elektrokus T kus reduk. WAVIN PE100 D200-110 PN10/16</t>
  </si>
  <si>
    <t>73</t>
  </si>
  <si>
    <t>286231131VD</t>
  </si>
  <si>
    <t>Elektrokus T kus WAVIN PE100 D200 PN10/16</t>
  </si>
  <si>
    <t>74</t>
  </si>
  <si>
    <t>286231133VD</t>
  </si>
  <si>
    <t>Elektrospojka WAVIN SDR17 PE100 D200 PN10/16</t>
  </si>
  <si>
    <t>75</t>
  </si>
  <si>
    <t>286231134VD</t>
  </si>
  <si>
    <t>Koleno 90st. WAVIN SDR17 PE100 D200 PN5/10</t>
  </si>
  <si>
    <t>76</t>
  </si>
  <si>
    <t>286231136VD</t>
  </si>
  <si>
    <t>Lemový nákružek A WAVIN SDR17 PE100 D200 PN5/10</t>
  </si>
  <si>
    <t>77</t>
  </si>
  <si>
    <t>286231139VD</t>
  </si>
  <si>
    <t>Příruba PP-OCEL WAVIN D200 PN16</t>
  </si>
  <si>
    <t>78</t>
  </si>
  <si>
    <t>286231143VD</t>
  </si>
  <si>
    <t>Uzav. klapka TTV s el. pohonem 2034E-DN200-PN16 W</t>
  </si>
  <si>
    <t>79</t>
  </si>
  <si>
    <t>857601107R00</t>
  </si>
  <si>
    <t>Montáž tvarovek DN 300</t>
  </si>
  <si>
    <t>2;Redukce WAVIN SDR17 PE100 D315/200 PN5/10;</t>
  </si>
  <si>
    <t>3;Průchodka LS-325/9 BS316-OTVOR DN250;</t>
  </si>
  <si>
    <t>80</t>
  </si>
  <si>
    <t>286231140VD</t>
  </si>
  <si>
    <t>Redukce WAVIN SDR17 PE100 D315/200 PN5/10</t>
  </si>
  <si>
    <t>81</t>
  </si>
  <si>
    <t>286231146VD</t>
  </si>
  <si>
    <t>Průchodka LS-325/9 BS316-OTVOR DN250</t>
  </si>
  <si>
    <t>82</t>
  </si>
  <si>
    <t>857601109R00</t>
  </si>
  <si>
    <t>Montáž tvarovek DN 400</t>
  </si>
  <si>
    <t>2;Přechod. kus SC 465 + vložka BC 32/400;</t>
  </si>
  <si>
    <t>2;Redukce WAVIN SDR17 PE100 D450/315 PN5/10;</t>
  </si>
  <si>
    <t>83</t>
  </si>
  <si>
    <t>286231137VD</t>
  </si>
  <si>
    <t>Přechod. kus SC 465 + vložka BC 32/400</t>
  </si>
  <si>
    <t>84</t>
  </si>
  <si>
    <t>286231141VD</t>
  </si>
  <si>
    <t>Redukce WAVIN SDR17 PE100 D450/315 PN5/10</t>
  </si>
  <si>
    <t>87</t>
  </si>
  <si>
    <t>Potrubí z trub plastických, skleněných a čedičových</t>
  </si>
  <si>
    <t>871251121R00</t>
  </si>
  <si>
    <t>Montáž trubek polyetylenových ve výkopu d 110 mm</t>
  </si>
  <si>
    <t>87_</t>
  </si>
  <si>
    <t>86</t>
  </si>
  <si>
    <t>286134633</t>
  </si>
  <si>
    <t>Trubka vodovodní HDPE SDR 17  110x6,6 mm, tl. izolace 32mm</t>
  </si>
  <si>
    <t>137,9*1,05;ztratné;</t>
  </si>
  <si>
    <t>871812112R00</t>
  </si>
  <si>
    <t>Příplatek za položení signalizačního vodiče a datového kabelu</t>
  </si>
  <si>
    <t>137,9;vodič;</t>
  </si>
  <si>
    <t>88</t>
  </si>
  <si>
    <t>34111012</t>
  </si>
  <si>
    <t>Kabel Cu signalizační</t>
  </si>
  <si>
    <t>89</t>
  </si>
  <si>
    <t>34111110VD</t>
  </si>
  <si>
    <t>PAAR-LiYCY 2x2x0,75 kabel datový</t>
  </si>
  <si>
    <t>137,90*1,05;ztratné;</t>
  </si>
  <si>
    <t>90</t>
  </si>
  <si>
    <t>899711122R00</t>
  </si>
  <si>
    <t>Fólie výstražná z PVC</t>
  </si>
  <si>
    <t>137,9*2;fólie;</t>
  </si>
  <si>
    <t>275,8*0,05;ztratné;</t>
  </si>
  <si>
    <t>91</t>
  </si>
  <si>
    <t>871812111R00</t>
  </si>
  <si>
    <t>Příplatek za zaměření GPS během pokládky</t>
  </si>
  <si>
    <t>139,7</t>
  </si>
  <si>
    <t>92</t>
  </si>
  <si>
    <t>286559919VD</t>
  </si>
  <si>
    <t>Propojení potrubí po osazení šachty</t>
  </si>
  <si>
    <t>1;propojení potrubí;</t>
  </si>
  <si>
    <t>Potrubí z drenážek</t>
  </si>
  <si>
    <t>93</t>
  </si>
  <si>
    <t>881267211R00</t>
  </si>
  <si>
    <t>Potrubí z drenážních trubek, přeložení DN 100</t>
  </si>
  <si>
    <t>88_</t>
  </si>
  <si>
    <t>94</t>
  </si>
  <si>
    <t>28611233</t>
  </si>
  <si>
    <t>Trubka PVC-U drenážní flexibilní d 100 mm</t>
  </si>
  <si>
    <t>Ostatní konstrukce a práce na trubním vedení</t>
  </si>
  <si>
    <t>95</t>
  </si>
  <si>
    <t>895013111R00</t>
  </si>
  <si>
    <t>Zřízení a dodávka jímky z prefa do 4 m, nad 3,5 m2</t>
  </si>
  <si>
    <t>89_</t>
  </si>
  <si>
    <t>1;odbočovací jímka;</t>
  </si>
  <si>
    <t>96</t>
  </si>
  <si>
    <t>899102111RT2</t>
  </si>
  <si>
    <t>Osazení a dodávka poklopu včetně rámu, uzamykatelný, těsný 900x900mm</t>
  </si>
  <si>
    <t>1;rám;</t>
  </si>
  <si>
    <t>97</t>
  </si>
  <si>
    <t>892271111R00</t>
  </si>
  <si>
    <t>Tlaková zkouška vodovodního potrubí DN 125</t>
  </si>
  <si>
    <t>891</t>
  </si>
  <si>
    <t>armatury na potrubí, výtoková a vtoková zařízení</t>
  </si>
  <si>
    <t>98</t>
  </si>
  <si>
    <t>891110013VD</t>
  </si>
  <si>
    <t>Vyříznutí stávajícího potrubí termální vody</t>
  </si>
  <si>
    <t>891_</t>
  </si>
  <si>
    <t>894</t>
  </si>
  <si>
    <t>Podpěry</t>
  </si>
  <si>
    <t>99</t>
  </si>
  <si>
    <t>894110015VD</t>
  </si>
  <si>
    <t>Podpěra v odbočovací šachtě</t>
  </si>
  <si>
    <t>894_</t>
  </si>
  <si>
    <t>5;P1;</t>
  </si>
  <si>
    <t>1;P2;</t>
  </si>
  <si>
    <t>Různé dokončovací konstrukce a práce inženýrských staveb</t>
  </si>
  <si>
    <t>100</t>
  </si>
  <si>
    <t>938907121R00</t>
  </si>
  <si>
    <t>Očištění stěn, podlah a stropů tlakovou vodou</t>
  </si>
  <si>
    <t>93_</t>
  </si>
  <si>
    <t>9_</t>
  </si>
  <si>
    <t>((1,175+2,5*2)*2,5-0,96*2,02+4,5*1,5*2)*2+11,139;001;</t>
  </si>
  <si>
    <t>(2,425+4)*2*2,5-0,96*2,02*2+9,9*2;002;</t>
  </si>
  <si>
    <t>(5+4)*2*2,5-0,96*2,02+18,5*2+(0,86+0,56)*2*1,05-1,19*0,79;003;</t>
  </si>
  <si>
    <t>(5+4)*2,46*2+20*2-1,19*0,79+(1,19+0,79)*2*0,42;004;</t>
  </si>
  <si>
    <t>S1</t>
  </si>
  <si>
    <t>H22</t>
  </si>
  <si>
    <t>Komunikace pozemní a letiště</t>
  </si>
  <si>
    <t>101</t>
  </si>
  <si>
    <t>998225111R00</t>
  </si>
  <si>
    <t>Přesun hmot, pozemní komunikace, kryt živičný</t>
  </si>
  <si>
    <t>H22_</t>
  </si>
  <si>
    <t>4,68342</t>
  </si>
  <si>
    <t>H27</t>
  </si>
  <si>
    <t>Vedení trubní dálková a přípojná</t>
  </si>
  <si>
    <t>102</t>
  </si>
  <si>
    <t>998276101R00</t>
  </si>
  <si>
    <t>Přesun hmot, trubní vedení plastová, otevř. výkop</t>
  </si>
  <si>
    <t>H27_</t>
  </si>
  <si>
    <t>188,13772</t>
  </si>
  <si>
    <t>H99</t>
  </si>
  <si>
    <t>Ostatní přesuny hmot</t>
  </si>
  <si>
    <t>103</t>
  </si>
  <si>
    <t>999281105R00</t>
  </si>
  <si>
    <t>Přesun hmot pro opravy a údržbu do výšky 6 m</t>
  </si>
  <si>
    <t>H99_</t>
  </si>
  <si>
    <t>3,11517</t>
  </si>
  <si>
    <t>M22</t>
  </si>
  <si>
    <t>Montáže sdělovací a zabezpečovací techniky</t>
  </si>
  <si>
    <t>104</t>
  </si>
  <si>
    <t>222611215R00</t>
  </si>
  <si>
    <t>Montáž pohonů</t>
  </si>
  <si>
    <t>M22_</t>
  </si>
  <si>
    <t>1;Pohon "VALPES VS FS" VR75-70A-GS6-100-240V AC;</t>
  </si>
  <si>
    <t>2;Pohon "VALPES VS FS" VS300-90A-GS6-100-240V AC;</t>
  </si>
  <si>
    <t>105</t>
  </si>
  <si>
    <t>286231144VD</t>
  </si>
  <si>
    <t>Pohon "VALPES VS FS" VR75-70A-GS6-100-240V AC</t>
  </si>
  <si>
    <t>106</t>
  </si>
  <si>
    <t>286231145VD</t>
  </si>
  <si>
    <t>Pohon "VALPES VS FS" VS300-90A-GS6-100-240V AC</t>
  </si>
  <si>
    <t>M46</t>
  </si>
  <si>
    <t>Zemní práce při montážích</t>
  </si>
  <si>
    <t>107</t>
  </si>
  <si>
    <t>460650015RT1</t>
  </si>
  <si>
    <t>Podkladová vrstva ze štěrkopísku, rozprostření a zhutnění</t>
  </si>
  <si>
    <t>M46_</t>
  </si>
  <si>
    <t>3,9*3,1*0,15;štěrkopískový podsyp;</t>
  </si>
  <si>
    <t>S</t>
  </si>
  <si>
    <t>Přesuny sutí</t>
  </si>
  <si>
    <t>108</t>
  </si>
  <si>
    <t>979094111R00</t>
  </si>
  <si>
    <t>Nakládání nebo překládání vybouraných hmot</t>
  </si>
  <si>
    <t>S_</t>
  </si>
  <si>
    <t>2,97</t>
  </si>
  <si>
    <t>109</t>
  </si>
  <si>
    <t>979081111R00</t>
  </si>
  <si>
    <t>Odvoz suti a vybour. hmot na skládku do 1 km</t>
  </si>
  <si>
    <t>110</t>
  </si>
  <si>
    <t>979081121R00</t>
  </si>
  <si>
    <t>Příplatek k odvozu za každý další 1 km</t>
  </si>
  <si>
    <t>2,97*19;odvoz celkem do 20km;</t>
  </si>
  <si>
    <t>111</t>
  </si>
  <si>
    <t>979999995R00</t>
  </si>
  <si>
    <t>Poplatek za recyklaci asfaltu, kusovost do 1600 cm2, (skup.170302)</t>
  </si>
  <si>
    <t>0,99</t>
  </si>
  <si>
    <t>112</t>
  </si>
  <si>
    <t>979999998R00</t>
  </si>
  <si>
    <t>Poplatek za ukládku suť do 5 % příměsí (skup.170107)</t>
  </si>
  <si>
    <t>1,98</t>
  </si>
  <si>
    <t>113</t>
  </si>
  <si>
    <t>Nakládání nebo překládání vybouraných hmot - dlažba pro zpětnou pokládku</t>
  </si>
  <si>
    <t>0,3695*2;2x nakládání pro uložení a zpětný odvoz;</t>
  </si>
  <si>
    <t>114</t>
  </si>
  <si>
    <t>979084212R00</t>
  </si>
  <si>
    <t>Vodorovná doprava vybour. hmot po suchu do 50 m - dlažba pro zpětnou pokládku</t>
  </si>
  <si>
    <t>0,3695*2;2x doprava pro uložení a zpětný odvoz;</t>
  </si>
  <si>
    <t>012VD</t>
  </si>
  <si>
    <t>vrn</t>
  </si>
  <si>
    <t>115</t>
  </si>
  <si>
    <t>012111111VD</t>
  </si>
  <si>
    <t>Zařízení staveniště</t>
  </si>
  <si>
    <t>%</t>
  </si>
  <si>
    <t>012VD_</t>
  </si>
  <si>
    <t>116</t>
  </si>
  <si>
    <t>012111112VD</t>
  </si>
  <si>
    <t>Územní vlivy</t>
  </si>
  <si>
    <t>117</t>
  </si>
  <si>
    <t>012111113VD</t>
  </si>
  <si>
    <t>Provozní vlivy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</si>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</sst>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fonts count="1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0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7" fillId="2" borderId="36" xfId="0" applyNumberFormat="1" applyFont="1" applyFill="1" applyBorder="1" applyAlignment="1" applyProtection="1">
      <alignment horizontal="center" vertical="center"/>
    </xf>
    <xf numFmtId="0" fontId="7" fillId="2" borderId="39" xfId="0" applyNumberFormat="1" applyFont="1" applyFill="1" applyBorder="1" applyAlignment="1" applyProtection="1">
      <alignment horizontal="center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10" fillId="0" borderId="41" xfId="0" applyNumberFormat="1" applyFont="1" applyFill="1" applyBorder="1" applyAlignment="1" applyProtection="1">
      <alignment horizontal="left" vertical="center"/>
    </xf>
    <xf numFmtId="4" fontId="10" fillId="0" borderId="41" xfId="0" applyNumberFormat="1" applyFont="1" applyFill="1" applyBorder="1" applyAlignment="1" applyProtection="1">
      <alignment horizontal="right" vertical="center"/>
    </xf>
    <xf numFmtId="0" fontId="10" fillId="0" borderId="41" xfId="0" applyNumberFormat="1" applyFont="1" applyFill="1" applyBorder="1" applyAlignment="1" applyProtection="1">
      <alignment horizontal="right" vertical="center"/>
    </xf>
    <xf numFmtId="0" fontId="9" fillId="0" borderId="44" xfId="0" applyNumberFormat="1" applyFont="1" applyFill="1" applyBorder="1" applyAlignment="1" applyProtection="1">
      <alignment horizontal="left" vertical="center"/>
    </xf>
    <xf numFmtId="4" fontId="10" fillId="0" borderId="48" xfId="0" applyNumberFormat="1" applyFont="1" applyFill="1" applyBorder="1" applyAlignment="1" applyProtection="1">
      <alignment horizontal="right" vertical="center"/>
    </xf>
    <xf numFmtId="0" fontId="10" fillId="0" borderId="48" xfId="0" applyNumberFormat="1" applyFont="1" applyFill="1" applyBorder="1" applyAlignment="1" applyProtection="1">
      <alignment horizontal="right" vertical="center"/>
    </xf>
    <xf numFmtId="4" fontId="10" fillId="0" borderId="39" xfId="0" applyNumberFormat="1" applyFont="1" applyFill="1" applyBorder="1" applyAlignment="1" applyProtection="1">
      <alignment horizontal="right" vertical="center"/>
    </xf>
    <xf numFmtId="4" fontId="10" fillId="0" borderId="25" xfId="0" applyNumberFormat="1" applyFont="1" applyFill="1" applyBorder="1" applyAlignment="1" applyProtection="1">
      <alignment horizontal="right" vertical="center"/>
    </xf>
    <xf numFmtId="4" fontId="9" fillId="2" borderId="38" xfId="0" applyNumberFormat="1" applyFont="1" applyFill="1" applyBorder="1" applyAlignment="1" applyProtection="1">
      <alignment horizontal="right" vertical="center"/>
    </xf>
    <xf numFmtId="4" fontId="9" fillId="2" borderId="43" xfId="0" applyNumberFormat="1" applyFont="1" applyFill="1" applyBorder="1" applyAlignment="1" applyProtection="1">
      <alignment horizontal="right" vertical="center"/>
    </xf>
    <xf numFmtId="0" fontId="5" fillId="0" borderId="29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left" vertical="center"/>
    </xf>
    <xf numFmtId="4" fontId="3" fillId="0" borderId="68" xfId="0" applyNumberFormat="1" applyFont="1" applyFill="1" applyBorder="1" applyAlignment="1" applyProtection="1">
      <alignment horizontal="right" vertical="center"/>
    </xf>
    <xf numFmtId="0" fontId="3" fillId="0" borderId="68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right" vertical="center"/>
    </xf>
    <xf numFmtId="4" fontId="2" fillId="0" borderId="72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2" borderId="29" xfId="0" applyNumberFormat="1" applyFont="1" applyFill="1" applyBorder="1" applyAlignment="1" applyProtection="1">
      <alignment horizontal="left" vertical="center" wrapText="1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31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6" fillId="0" borderId="35" xfId="0" applyNumberFormat="1" applyFont="1" applyFill="1" applyBorder="1" applyAlignment="1" applyProtection="1">
      <alignment horizontal="center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9" fillId="0" borderId="45" xfId="0" applyNumberFormat="1" applyFont="1" applyFill="1" applyBorder="1" applyAlignment="1" applyProtection="1">
      <alignment horizontal="left"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0" fontId="9" fillId="0" borderId="46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0" fontId="9" fillId="0" borderId="50" xfId="0" applyNumberFormat="1" applyFont="1" applyFill="1" applyBorder="1" applyAlignment="1" applyProtection="1">
      <alignment horizontal="left" vertical="center"/>
    </xf>
    <xf numFmtId="0" fontId="9" fillId="0" borderId="38" xfId="0" applyNumberFormat="1" applyFont="1" applyFill="1" applyBorder="1" applyAlignment="1" applyProtection="1">
      <alignment horizontal="left" vertical="center"/>
    </xf>
    <xf numFmtId="0" fontId="10" fillId="0" borderId="42" xfId="0" applyNumberFormat="1" applyFont="1" applyFill="1" applyBorder="1" applyAlignment="1" applyProtection="1">
      <alignment horizontal="left" vertical="center"/>
    </xf>
    <xf numFmtId="0" fontId="10" fillId="0" borderId="43" xfId="0" applyNumberFormat="1" applyFont="1" applyFill="1" applyBorder="1" applyAlignment="1" applyProtection="1">
      <alignment horizontal="left" vertical="center"/>
    </xf>
    <xf numFmtId="0" fontId="10" fillId="0" borderId="49" xfId="0" applyNumberFormat="1" applyFont="1" applyFill="1" applyBorder="1" applyAlignment="1" applyProtection="1">
      <alignment horizontal="left" vertical="center"/>
    </xf>
    <xf numFmtId="0" fontId="10" fillId="0" borderId="47" xfId="0" applyNumberFormat="1" applyFont="1" applyFill="1" applyBorder="1" applyAlignment="1" applyProtection="1">
      <alignment horizontal="left" vertical="center"/>
    </xf>
    <xf numFmtId="0" fontId="9" fillId="0" borderId="37" xfId="0" applyNumberFormat="1" applyFont="1" applyFill="1" applyBorder="1" applyAlignment="1" applyProtection="1">
      <alignment horizontal="left"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0" fontId="9" fillId="2" borderId="50" xfId="0" applyNumberFormat="1" applyFont="1" applyFill="1" applyBorder="1" applyAlignment="1" applyProtection="1">
      <alignment horizontal="left" vertical="center"/>
    </xf>
    <xf numFmtId="0" fontId="9" fillId="2" borderId="51" xfId="0" applyNumberFormat="1" applyFont="1" applyFill="1" applyBorder="1" applyAlignment="1" applyProtection="1">
      <alignment horizontal="left" vertical="center"/>
    </xf>
    <xf numFmtId="0" fontId="9" fillId="2" borderId="45" xfId="0" applyNumberFormat="1" applyFont="1" applyFill="1" applyBorder="1" applyAlignment="1" applyProtection="1">
      <alignment horizontal="left" vertical="center"/>
    </xf>
    <xf numFmtId="0" fontId="9" fillId="2" borderId="52" xfId="0" applyNumberFormat="1" applyFont="1" applyFill="1" applyBorder="1" applyAlignment="1" applyProtection="1">
      <alignment horizontal="left" vertical="center"/>
    </xf>
    <xf numFmtId="0" fontId="9" fillId="2" borderId="37" xfId="0" applyNumberFormat="1" applyFont="1" applyFill="1" applyBorder="1" applyAlignment="1" applyProtection="1">
      <alignment horizontal="left" vertical="center"/>
    </xf>
    <xf numFmtId="0" fontId="9" fillId="2" borderId="42" xfId="0" applyNumberFormat="1" applyFont="1" applyFill="1" applyBorder="1" applyAlignment="1" applyProtection="1">
      <alignment horizontal="left" vertical="center"/>
    </xf>
    <xf numFmtId="0" fontId="10" fillId="0" borderId="53" xfId="0" applyNumberFormat="1" applyFont="1" applyFill="1" applyBorder="1" applyAlignment="1" applyProtection="1">
      <alignment horizontal="left" vertical="center"/>
    </xf>
    <xf numFmtId="0" fontId="10" fillId="0" borderId="54" xfId="0" applyNumberFormat="1" applyFont="1" applyFill="1" applyBorder="1" applyAlignment="1" applyProtection="1">
      <alignment horizontal="left" vertical="center"/>
    </xf>
    <xf numFmtId="0" fontId="10" fillId="0" borderId="55" xfId="0" applyNumberFormat="1" applyFont="1" applyFill="1" applyBorder="1" applyAlignment="1" applyProtection="1">
      <alignment horizontal="left" vertical="center"/>
    </xf>
    <xf numFmtId="0" fontId="10" fillId="0" borderId="57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58" xfId="0" applyNumberFormat="1" applyFont="1" applyFill="1" applyBorder="1" applyAlignment="1" applyProtection="1">
      <alignment horizontal="left" vertical="center"/>
    </xf>
    <xf numFmtId="0" fontId="10" fillId="0" borderId="60" xfId="0" applyNumberFormat="1" applyFont="1" applyFill="1" applyBorder="1" applyAlignment="1" applyProtection="1">
      <alignment horizontal="left" vertical="center"/>
    </xf>
    <xf numFmtId="0" fontId="10" fillId="0" borderId="61" xfId="0" applyNumberFormat="1" applyFont="1" applyFill="1" applyBorder="1" applyAlignment="1" applyProtection="1">
      <alignment horizontal="left" vertical="center"/>
    </xf>
    <xf numFmtId="0" fontId="10" fillId="0" borderId="62" xfId="0" applyNumberFormat="1" applyFont="1" applyFill="1" applyBorder="1" applyAlignment="1" applyProtection="1">
      <alignment horizontal="left" vertical="center"/>
    </xf>
    <xf numFmtId="0" fontId="10" fillId="0" borderId="56" xfId="0" applyNumberFormat="1" applyFont="1" applyFill="1" applyBorder="1" applyAlignment="1" applyProtection="1">
      <alignment horizontal="left" vertical="center"/>
    </xf>
    <xf numFmtId="0" fontId="10" fillId="0" borderId="59" xfId="0" applyNumberFormat="1" applyFont="1" applyFill="1" applyBorder="1" applyAlignment="1" applyProtection="1">
      <alignment horizontal="left" vertical="center"/>
    </xf>
    <xf numFmtId="0" fontId="10" fillId="0" borderId="63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3" fillId="0" borderId="67" xfId="0" applyNumberFormat="1" applyFont="1" applyFill="1" applyBorder="1" applyAlignment="1" applyProtection="1">
      <alignment horizontal="lef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left" vertical="center"/>
    </xf>
    <xf numFmtId="0" fontId="9" fillId="0" borderId="69" xfId="0" applyNumberFormat="1" applyFont="1" applyFill="1" applyBorder="1" applyAlignment="1" applyProtection="1">
      <alignment horizontal="left" vertical="center"/>
    </xf>
    <xf numFmtId="0" fontId="9" fillId="0" borderId="70" xfId="0" applyNumberFormat="1" applyFont="1" applyFill="1" applyBorder="1" applyAlignment="1" applyProtection="1">
      <alignment horizontal="left" vertical="center"/>
    </xf>
    <xf numFmtId="0" fontId="9" fillId="0" borderId="71" xfId="0" applyNumberFormat="1" applyFont="1" applyFill="1" applyBorder="1" applyAlignment="1" applyProtection="1">
      <alignment horizontal="left" vertical="center"/>
    </xf>
    <xf numFmtId="4" fontId="9" fillId="0" borderId="73" xfId="0" applyNumberFormat="1" applyFont="1" applyFill="1" applyBorder="1" applyAlignment="1" applyProtection="1">
      <alignment horizontal="right" vertical="center"/>
    </xf>
    <xf numFmtId="0" fontId="9" fillId="0" borderId="70" xfId="0" applyNumberFormat="1" applyFont="1" applyFill="1" applyBorder="1" applyAlignment="1" applyProtection="1">
      <alignment horizontal="right" vertical="center"/>
    </xf>
    <xf numFmtId="0" fontId="9" fillId="0" borderId="71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327"/>
  <sheetViews>
    <sheetView tabSelected="1" workbookViewId="0">
      <pane ySplit="11" topLeftCell="A15" activePane="bottomLeft" state="frozen"/>
      <selection pane="bottomLeft" sqref="A1:K1"/>
    </sheetView>
  </sheetViews>
  <sheetFormatPr defaultColWidth="12.140625" defaultRowHeight="15" customHeight="1"/>
  <cols>
    <col min="1" max="1" width="4" customWidth="1"/>
    <col min="2" max="2" width="17.85546875" customWidth="1"/>
    <col min="3" max="3" width="91.42578125" customWidth="1"/>
    <col min="4" max="4" width="35.7109375" customWidth="1"/>
    <col min="5" max="5" width="5.855468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63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3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>
      <c r="A2" s="64" t="s">
        <v>1</v>
      </c>
      <c r="B2" s="65"/>
      <c r="C2" s="73" t="s">
        <v>2</v>
      </c>
      <c r="D2" s="74"/>
      <c r="E2" s="65" t="s">
        <v>3</v>
      </c>
      <c r="F2" s="65"/>
      <c r="G2" s="65" t="s">
        <v>4</v>
      </c>
      <c r="H2" s="71" t="s">
        <v>5</v>
      </c>
      <c r="I2" s="71" t="s">
        <v>6</v>
      </c>
      <c r="J2" s="65"/>
      <c r="K2" s="76"/>
    </row>
    <row r="3" spans="1:76">
      <c r="A3" s="66"/>
      <c r="B3" s="67"/>
      <c r="C3" s="75"/>
      <c r="D3" s="75"/>
      <c r="E3" s="67"/>
      <c r="F3" s="67"/>
      <c r="G3" s="67"/>
      <c r="H3" s="67"/>
      <c r="I3" s="67"/>
      <c r="J3" s="67"/>
      <c r="K3" s="77"/>
    </row>
    <row r="4" spans="1:76">
      <c r="A4" s="68" t="s">
        <v>7</v>
      </c>
      <c r="B4" s="67"/>
      <c r="C4" s="72" t="s">
        <v>8</v>
      </c>
      <c r="D4" s="67"/>
      <c r="E4" s="67" t="s">
        <v>9</v>
      </c>
      <c r="F4" s="67"/>
      <c r="G4" s="67" t="s">
        <v>4</v>
      </c>
      <c r="H4" s="72" t="s">
        <v>10</v>
      </c>
      <c r="I4" s="72" t="s">
        <v>11</v>
      </c>
      <c r="J4" s="67"/>
      <c r="K4" s="77"/>
    </row>
    <row r="5" spans="1:76">
      <c r="A5" s="66"/>
      <c r="B5" s="67"/>
      <c r="C5" s="67"/>
      <c r="D5" s="67"/>
      <c r="E5" s="67"/>
      <c r="F5" s="67"/>
      <c r="G5" s="67"/>
      <c r="H5" s="67"/>
      <c r="I5" s="67"/>
      <c r="J5" s="67"/>
      <c r="K5" s="77"/>
    </row>
    <row r="6" spans="1:76">
      <c r="A6" s="68" t="s">
        <v>12</v>
      </c>
      <c r="B6" s="67"/>
      <c r="C6" s="72" t="s">
        <v>13</v>
      </c>
      <c r="D6" s="67"/>
      <c r="E6" s="67" t="s">
        <v>14</v>
      </c>
      <c r="F6" s="67"/>
      <c r="G6" s="67" t="s">
        <v>4</v>
      </c>
      <c r="H6" s="72" t="s">
        <v>15</v>
      </c>
      <c r="I6" s="67" t="s">
        <v>16</v>
      </c>
      <c r="J6" s="67"/>
      <c r="K6" s="77"/>
    </row>
    <row r="7" spans="1:76">
      <c r="A7" s="66"/>
      <c r="B7" s="67"/>
      <c r="C7" s="67"/>
      <c r="D7" s="67"/>
      <c r="E7" s="67"/>
      <c r="F7" s="67"/>
      <c r="G7" s="67"/>
      <c r="H7" s="67"/>
      <c r="I7" s="67"/>
      <c r="J7" s="67"/>
      <c r="K7" s="77"/>
    </row>
    <row r="8" spans="1:76">
      <c r="A8" s="68" t="s">
        <v>17</v>
      </c>
      <c r="B8" s="67"/>
      <c r="C8" s="72" t="s">
        <v>4</v>
      </c>
      <c r="D8" s="67"/>
      <c r="E8" s="67" t="s">
        <v>18</v>
      </c>
      <c r="F8" s="67"/>
      <c r="G8" s="67" t="s">
        <v>19</v>
      </c>
      <c r="H8" s="72" t="s">
        <v>20</v>
      </c>
      <c r="I8" s="72" t="s">
        <v>21</v>
      </c>
      <c r="J8" s="67"/>
      <c r="K8" s="77"/>
    </row>
    <row r="9" spans="1:76">
      <c r="A9" s="69"/>
      <c r="B9" s="70"/>
      <c r="C9" s="70"/>
      <c r="D9" s="70"/>
      <c r="E9" s="70"/>
      <c r="F9" s="70"/>
      <c r="G9" s="70"/>
      <c r="H9" s="70"/>
      <c r="I9" s="70"/>
      <c r="J9" s="70"/>
      <c r="K9" s="78"/>
    </row>
    <row r="10" spans="1:76">
      <c r="A10" s="5" t="s">
        <v>22</v>
      </c>
      <c r="B10" s="6" t="s">
        <v>23</v>
      </c>
      <c r="C10" s="79" t="s">
        <v>24</v>
      </c>
      <c r="D10" s="80"/>
      <c r="E10" s="6" t="s">
        <v>25</v>
      </c>
      <c r="F10" s="7" t="s">
        <v>26</v>
      </c>
      <c r="G10" s="8" t="s">
        <v>27</v>
      </c>
      <c r="H10" s="83" t="s">
        <v>28</v>
      </c>
      <c r="I10" s="84"/>
      <c r="J10" s="85"/>
      <c r="K10" s="9" t="s">
        <v>29</v>
      </c>
      <c r="BK10" s="10" t="s">
        <v>30</v>
      </c>
      <c r="BL10" s="11" t="s">
        <v>31</v>
      </c>
      <c r="BW10" s="11" t="s">
        <v>32</v>
      </c>
    </row>
    <row r="11" spans="1:76">
      <c r="A11" s="12" t="s">
        <v>4</v>
      </c>
      <c r="B11" s="13" t="s">
        <v>4</v>
      </c>
      <c r="C11" s="81" t="s">
        <v>33</v>
      </c>
      <c r="D11" s="82"/>
      <c r="E11" s="13" t="s">
        <v>4</v>
      </c>
      <c r="F11" s="13" t="s">
        <v>4</v>
      </c>
      <c r="G11" s="14" t="s">
        <v>34</v>
      </c>
      <c r="H11" s="15" t="s">
        <v>35</v>
      </c>
      <c r="I11" s="16" t="s">
        <v>36</v>
      </c>
      <c r="J11" s="17" t="s">
        <v>37</v>
      </c>
      <c r="K11" s="18" t="s">
        <v>38</v>
      </c>
      <c r="Z11" s="10" t="s">
        <v>39</v>
      </c>
      <c r="AA11" s="10" t="s">
        <v>40</v>
      </c>
      <c r="AB11" s="10" t="s">
        <v>41</v>
      </c>
      <c r="AC11" s="10" t="s">
        <v>42</v>
      </c>
      <c r="AD11" s="10" t="s">
        <v>43</v>
      </c>
      <c r="AE11" s="10" t="s">
        <v>44</v>
      </c>
      <c r="AF11" s="10" t="s">
        <v>45</v>
      </c>
      <c r="AG11" s="10" t="s">
        <v>46</v>
      </c>
      <c r="AH11" s="10" t="s">
        <v>47</v>
      </c>
      <c r="BH11" s="10" t="s">
        <v>48</v>
      </c>
      <c r="BI11" s="10" t="s">
        <v>49</v>
      </c>
      <c r="BJ11" s="10" t="s">
        <v>50</v>
      </c>
    </row>
    <row r="12" spans="1:76">
      <c r="A12" s="19" t="s">
        <v>51</v>
      </c>
      <c r="B12" s="20" t="s">
        <v>52</v>
      </c>
      <c r="C12" s="86" t="s">
        <v>53</v>
      </c>
      <c r="D12" s="87"/>
      <c r="E12" s="21" t="s">
        <v>4</v>
      </c>
      <c r="F12" s="21" t="s">
        <v>4</v>
      </c>
      <c r="G12" s="21" t="s">
        <v>4</v>
      </c>
      <c r="H12" s="22">
        <f>SUM(H13:H15)</f>
        <v>0</v>
      </c>
      <c r="I12" s="22">
        <f>SUM(I13:I15)</f>
        <v>0</v>
      </c>
      <c r="J12" s="22">
        <f>SUM(J13:J15)</f>
        <v>0</v>
      </c>
      <c r="K12" s="23" t="s">
        <v>51</v>
      </c>
      <c r="AI12" s="10" t="s">
        <v>51</v>
      </c>
      <c r="AS12" s="1">
        <f>SUM(AJ13:AJ15)</f>
        <v>0</v>
      </c>
      <c r="AT12" s="1">
        <f>SUM(AK13:AK15)</f>
        <v>0</v>
      </c>
      <c r="AU12" s="1">
        <f>SUM(AL13:AL15)</f>
        <v>0</v>
      </c>
    </row>
    <row r="13" spans="1:76">
      <c r="A13" s="2" t="s">
        <v>54</v>
      </c>
      <c r="B13" s="3" t="s">
        <v>55</v>
      </c>
      <c r="C13" s="72" t="s">
        <v>56</v>
      </c>
      <c r="D13" s="67"/>
      <c r="E13" s="3" t="s">
        <v>57</v>
      </c>
      <c r="F13" s="24">
        <v>1</v>
      </c>
      <c r="G13" s="24">
        <v>0</v>
      </c>
      <c r="H13" s="24">
        <f>F13*AO13</f>
        <v>0</v>
      </c>
      <c r="I13" s="24">
        <f>F13*AP13</f>
        <v>0</v>
      </c>
      <c r="J13" s="24">
        <f>F13*G13</f>
        <v>0</v>
      </c>
      <c r="K13" s="25" t="s">
        <v>51</v>
      </c>
      <c r="Z13" s="24">
        <f>IF(AQ13="5",BJ13,0)</f>
        <v>0</v>
      </c>
      <c r="AB13" s="24">
        <f>IF(AQ13="1",BH13,0)</f>
        <v>0</v>
      </c>
      <c r="AC13" s="24">
        <f>IF(AQ13="1",BI13,0)</f>
        <v>0</v>
      </c>
      <c r="AD13" s="24">
        <f>IF(AQ13="7",BH13,0)</f>
        <v>0</v>
      </c>
      <c r="AE13" s="24">
        <f>IF(AQ13="7",BI13,0)</f>
        <v>0</v>
      </c>
      <c r="AF13" s="24">
        <f>IF(AQ13="2",BH13,0)</f>
        <v>0</v>
      </c>
      <c r="AG13" s="24">
        <f>IF(AQ13="2",BI13,0)</f>
        <v>0</v>
      </c>
      <c r="AH13" s="24">
        <f>IF(AQ13="0",BJ13,0)</f>
        <v>0</v>
      </c>
      <c r="AI13" s="10" t="s">
        <v>51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G13*0</f>
        <v>0</v>
      </c>
      <c r="AP13" s="24">
        <f>G13*(1-0)</f>
        <v>0</v>
      </c>
      <c r="AQ13" s="26" t="s">
        <v>54</v>
      </c>
      <c r="AV13" s="24">
        <f>AW13+AX13</f>
        <v>0</v>
      </c>
      <c r="AW13" s="24">
        <f>F13*AO13</f>
        <v>0</v>
      </c>
      <c r="AX13" s="24">
        <f>F13*AP13</f>
        <v>0</v>
      </c>
      <c r="AY13" s="26" t="s">
        <v>58</v>
      </c>
      <c r="AZ13" s="26" t="s">
        <v>58</v>
      </c>
      <c r="BA13" s="10" t="s">
        <v>59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4"/>
      <c r="BL13" s="24">
        <v>0</v>
      </c>
      <c r="BW13" s="24">
        <v>21</v>
      </c>
      <c r="BX13" s="4" t="s">
        <v>56</v>
      </c>
    </row>
    <row r="14" spans="1:76">
      <c r="A14" s="27"/>
      <c r="C14" s="28" t="s">
        <v>60</v>
      </c>
      <c r="D14" s="28" t="s">
        <v>51</v>
      </c>
      <c r="F14" s="29">
        <v>1</v>
      </c>
      <c r="K14" s="30"/>
    </row>
    <row r="15" spans="1:76">
      <c r="A15" s="2" t="s">
        <v>61</v>
      </c>
      <c r="B15" s="3" t="s">
        <v>62</v>
      </c>
      <c r="C15" s="72" t="s">
        <v>63</v>
      </c>
      <c r="D15" s="67"/>
      <c r="E15" s="3" t="s">
        <v>57</v>
      </c>
      <c r="F15" s="24">
        <v>1</v>
      </c>
      <c r="G15" s="24">
        <v>0</v>
      </c>
      <c r="H15" s="24">
        <f>F15*AO15</f>
        <v>0</v>
      </c>
      <c r="I15" s="24">
        <f>F15*AP15</f>
        <v>0</v>
      </c>
      <c r="J15" s="24">
        <f>F15*G15</f>
        <v>0</v>
      </c>
      <c r="K15" s="25" t="s">
        <v>51</v>
      </c>
      <c r="Z15" s="24">
        <f>IF(AQ15="5",BJ15,0)</f>
        <v>0</v>
      </c>
      <c r="AB15" s="24">
        <f>IF(AQ15="1",BH15,0)</f>
        <v>0</v>
      </c>
      <c r="AC15" s="24">
        <f>IF(AQ15="1",BI15,0)</f>
        <v>0</v>
      </c>
      <c r="AD15" s="24">
        <f>IF(AQ15="7",BH15,0)</f>
        <v>0</v>
      </c>
      <c r="AE15" s="24">
        <f>IF(AQ15="7",BI15,0)</f>
        <v>0</v>
      </c>
      <c r="AF15" s="24">
        <f>IF(AQ15="2",BH15,0)</f>
        <v>0</v>
      </c>
      <c r="AG15" s="24">
        <f>IF(AQ15="2",BI15,0)</f>
        <v>0</v>
      </c>
      <c r="AH15" s="24">
        <f>IF(AQ15="0",BJ15,0)</f>
        <v>0</v>
      </c>
      <c r="AI15" s="10" t="s">
        <v>51</v>
      </c>
      <c r="AJ15" s="24">
        <f>IF(AN15=0,J15,0)</f>
        <v>0</v>
      </c>
      <c r="AK15" s="24">
        <f>IF(AN15=12,J15,0)</f>
        <v>0</v>
      </c>
      <c r="AL15" s="24">
        <f>IF(AN15=21,J15,0)</f>
        <v>0</v>
      </c>
      <c r="AN15" s="24">
        <v>21</v>
      </c>
      <c r="AO15" s="24">
        <f>G15*0</f>
        <v>0</v>
      </c>
      <c r="AP15" s="24">
        <f>G15*(1-0)</f>
        <v>0</v>
      </c>
      <c r="AQ15" s="26" t="s">
        <v>54</v>
      </c>
      <c r="AV15" s="24">
        <f>AW15+AX15</f>
        <v>0</v>
      </c>
      <c r="AW15" s="24">
        <f>F15*AO15</f>
        <v>0</v>
      </c>
      <c r="AX15" s="24">
        <f>F15*AP15</f>
        <v>0</v>
      </c>
      <c r="AY15" s="26" t="s">
        <v>58</v>
      </c>
      <c r="AZ15" s="26" t="s">
        <v>58</v>
      </c>
      <c r="BA15" s="10" t="s">
        <v>59</v>
      </c>
      <c r="BC15" s="24">
        <f>AW15+AX15</f>
        <v>0</v>
      </c>
      <c r="BD15" s="24">
        <f>G15/(100-BE15)*100</f>
        <v>0</v>
      </c>
      <c r="BE15" s="24">
        <v>0</v>
      </c>
      <c r="BF15" s="24">
        <f>15</f>
        <v>15</v>
      </c>
      <c r="BH15" s="24">
        <f>F15*AO15</f>
        <v>0</v>
      </c>
      <c r="BI15" s="24">
        <f>F15*AP15</f>
        <v>0</v>
      </c>
      <c r="BJ15" s="24">
        <f>F15*G15</f>
        <v>0</v>
      </c>
      <c r="BK15" s="24"/>
      <c r="BL15" s="24">
        <v>0</v>
      </c>
      <c r="BW15" s="24">
        <v>21</v>
      </c>
      <c r="BX15" s="4" t="s">
        <v>63</v>
      </c>
    </row>
    <row r="16" spans="1:76">
      <c r="A16" s="27"/>
      <c r="C16" s="28" t="s">
        <v>64</v>
      </c>
      <c r="D16" s="28" t="s">
        <v>51</v>
      </c>
      <c r="F16" s="29">
        <v>1</v>
      </c>
      <c r="K16" s="30"/>
    </row>
    <row r="17" spans="1:76">
      <c r="A17" s="31" t="s">
        <v>51</v>
      </c>
      <c r="B17" s="32" t="s">
        <v>65</v>
      </c>
      <c r="C17" s="88" t="s">
        <v>66</v>
      </c>
      <c r="D17" s="89"/>
      <c r="E17" s="33" t="s">
        <v>4</v>
      </c>
      <c r="F17" s="33" t="s">
        <v>4</v>
      </c>
      <c r="G17" s="33" t="s">
        <v>4</v>
      </c>
      <c r="H17" s="1">
        <f>SUM(H18:H24)</f>
        <v>0</v>
      </c>
      <c r="I17" s="1">
        <f>SUM(I18:I24)</f>
        <v>0</v>
      </c>
      <c r="J17" s="1">
        <f>SUM(J18:J24)</f>
        <v>0</v>
      </c>
      <c r="K17" s="34" t="s">
        <v>51</v>
      </c>
      <c r="AI17" s="10" t="s">
        <v>51</v>
      </c>
      <c r="AS17" s="1">
        <f>SUM(AJ18:AJ24)</f>
        <v>0</v>
      </c>
      <c r="AT17" s="1">
        <f>SUM(AK18:AK24)</f>
        <v>0</v>
      </c>
      <c r="AU17" s="1">
        <f>SUM(AL18:AL24)</f>
        <v>0</v>
      </c>
    </row>
    <row r="18" spans="1:76">
      <c r="A18" s="2" t="s">
        <v>67</v>
      </c>
      <c r="B18" s="3" t="s">
        <v>68</v>
      </c>
      <c r="C18" s="72" t="s">
        <v>69</v>
      </c>
      <c r="D18" s="67"/>
      <c r="E18" s="3" t="s">
        <v>70</v>
      </c>
      <c r="F18" s="24">
        <v>1</v>
      </c>
      <c r="G18" s="24">
        <v>0</v>
      </c>
      <c r="H18" s="24">
        <f>F18*AO18</f>
        <v>0</v>
      </c>
      <c r="I18" s="24">
        <f>F18*AP18</f>
        <v>0</v>
      </c>
      <c r="J18" s="24">
        <f>F18*G18</f>
        <v>0</v>
      </c>
      <c r="K18" s="25" t="s">
        <v>71</v>
      </c>
      <c r="Z18" s="24">
        <f>IF(AQ18="5",BJ18,0)</f>
        <v>0</v>
      </c>
      <c r="AB18" s="24">
        <f>IF(AQ18="1",BH18,0)</f>
        <v>0</v>
      </c>
      <c r="AC18" s="24">
        <f>IF(AQ18="1",BI18,0)</f>
        <v>0</v>
      </c>
      <c r="AD18" s="24">
        <f>IF(AQ18="7",BH18,0)</f>
        <v>0</v>
      </c>
      <c r="AE18" s="24">
        <f>IF(AQ18="7",BI18,0)</f>
        <v>0</v>
      </c>
      <c r="AF18" s="24">
        <f>IF(AQ18="2",BH18,0)</f>
        <v>0</v>
      </c>
      <c r="AG18" s="24">
        <f>IF(AQ18="2",BI18,0)</f>
        <v>0</v>
      </c>
      <c r="AH18" s="24">
        <f>IF(AQ18="0",BJ18,0)</f>
        <v>0</v>
      </c>
      <c r="AI18" s="10" t="s">
        <v>51</v>
      </c>
      <c r="AJ18" s="24">
        <f>IF(AN18=0,J18,0)</f>
        <v>0</v>
      </c>
      <c r="AK18" s="24">
        <f>IF(AN18=12,J18,0)</f>
        <v>0</v>
      </c>
      <c r="AL18" s="24">
        <f>IF(AN18=21,J18,0)</f>
        <v>0</v>
      </c>
      <c r="AN18" s="24">
        <v>21</v>
      </c>
      <c r="AO18" s="24">
        <f>G18*0.291967213</f>
        <v>0</v>
      </c>
      <c r="AP18" s="24">
        <f>G18*(1-0.291967213)</f>
        <v>0</v>
      </c>
      <c r="AQ18" s="26" t="s">
        <v>54</v>
      </c>
      <c r="AV18" s="24">
        <f>AW18+AX18</f>
        <v>0</v>
      </c>
      <c r="AW18" s="24">
        <f>F18*AO18</f>
        <v>0</v>
      </c>
      <c r="AX18" s="24">
        <f>F18*AP18</f>
        <v>0</v>
      </c>
      <c r="AY18" s="26" t="s">
        <v>72</v>
      </c>
      <c r="AZ18" s="26" t="s">
        <v>73</v>
      </c>
      <c r="BA18" s="10" t="s">
        <v>59</v>
      </c>
      <c r="BC18" s="24">
        <f>AW18+AX18</f>
        <v>0</v>
      </c>
      <c r="BD18" s="24">
        <f>G18/(100-BE18)*100</f>
        <v>0</v>
      </c>
      <c r="BE18" s="24">
        <v>0</v>
      </c>
      <c r="BF18" s="24">
        <f>18</f>
        <v>18</v>
      </c>
      <c r="BH18" s="24">
        <f>F18*AO18</f>
        <v>0</v>
      </c>
      <c r="BI18" s="24">
        <f>F18*AP18</f>
        <v>0</v>
      </c>
      <c r="BJ18" s="24">
        <f>F18*G18</f>
        <v>0</v>
      </c>
      <c r="BK18" s="24"/>
      <c r="BL18" s="24">
        <v>11</v>
      </c>
      <c r="BW18" s="24">
        <v>21</v>
      </c>
      <c r="BX18" s="4" t="s">
        <v>69</v>
      </c>
    </row>
    <row r="19" spans="1:76">
      <c r="A19" s="27"/>
      <c r="C19" s="28" t="s">
        <v>74</v>
      </c>
      <c r="D19" s="28" t="s">
        <v>51</v>
      </c>
      <c r="F19" s="29">
        <v>1</v>
      </c>
      <c r="K19" s="30"/>
    </row>
    <row r="20" spans="1:76">
      <c r="A20" s="2" t="s">
        <v>75</v>
      </c>
      <c r="B20" s="3" t="s">
        <v>76</v>
      </c>
      <c r="C20" s="72" t="s">
        <v>77</v>
      </c>
      <c r="D20" s="67"/>
      <c r="E20" s="3" t="s">
        <v>70</v>
      </c>
      <c r="F20" s="24">
        <v>1</v>
      </c>
      <c r="G20" s="24">
        <v>0</v>
      </c>
      <c r="H20" s="24">
        <f>F20*AO20</f>
        <v>0</v>
      </c>
      <c r="I20" s="24">
        <f>F20*AP20</f>
        <v>0</v>
      </c>
      <c r="J20" s="24">
        <f>F20*G20</f>
        <v>0</v>
      </c>
      <c r="K20" s="25" t="s">
        <v>71</v>
      </c>
      <c r="Z20" s="24">
        <f>IF(AQ20="5",BJ20,0)</f>
        <v>0</v>
      </c>
      <c r="AB20" s="24">
        <f>IF(AQ20="1",BH20,0)</f>
        <v>0</v>
      </c>
      <c r="AC20" s="24">
        <f>IF(AQ20="1",BI20,0)</f>
        <v>0</v>
      </c>
      <c r="AD20" s="24">
        <f>IF(AQ20="7",BH20,0)</f>
        <v>0</v>
      </c>
      <c r="AE20" s="24">
        <f>IF(AQ20="7",BI20,0)</f>
        <v>0</v>
      </c>
      <c r="AF20" s="24">
        <f>IF(AQ20="2",BH20,0)</f>
        <v>0</v>
      </c>
      <c r="AG20" s="24">
        <f>IF(AQ20="2",BI20,0)</f>
        <v>0</v>
      </c>
      <c r="AH20" s="24">
        <f>IF(AQ20="0",BJ20,0)</f>
        <v>0</v>
      </c>
      <c r="AI20" s="10" t="s">
        <v>51</v>
      </c>
      <c r="AJ20" s="24">
        <f>IF(AN20=0,J20,0)</f>
        <v>0</v>
      </c>
      <c r="AK20" s="24">
        <f>IF(AN20=12,J20,0)</f>
        <v>0</v>
      </c>
      <c r="AL20" s="24">
        <f>IF(AN20=21,J20,0)</f>
        <v>0</v>
      </c>
      <c r="AN20" s="24">
        <v>21</v>
      </c>
      <c r="AO20" s="24">
        <f>G20*0.257169811</f>
        <v>0</v>
      </c>
      <c r="AP20" s="24">
        <f>G20*(1-0.257169811)</f>
        <v>0</v>
      </c>
      <c r="AQ20" s="26" t="s">
        <v>54</v>
      </c>
      <c r="AV20" s="24">
        <f>AW20+AX20</f>
        <v>0</v>
      </c>
      <c r="AW20" s="24">
        <f>F20*AO20</f>
        <v>0</v>
      </c>
      <c r="AX20" s="24">
        <f>F20*AP20</f>
        <v>0</v>
      </c>
      <c r="AY20" s="26" t="s">
        <v>72</v>
      </c>
      <c r="AZ20" s="26" t="s">
        <v>73</v>
      </c>
      <c r="BA20" s="10" t="s">
        <v>59</v>
      </c>
      <c r="BC20" s="24">
        <f>AW20+AX20</f>
        <v>0</v>
      </c>
      <c r="BD20" s="24">
        <f>G20/(100-BE20)*100</f>
        <v>0</v>
      </c>
      <c r="BE20" s="24">
        <v>0</v>
      </c>
      <c r="BF20" s="24">
        <f>20</f>
        <v>20</v>
      </c>
      <c r="BH20" s="24">
        <f>F20*AO20</f>
        <v>0</v>
      </c>
      <c r="BI20" s="24">
        <f>F20*AP20</f>
        <v>0</v>
      </c>
      <c r="BJ20" s="24">
        <f>F20*G20</f>
        <v>0</v>
      </c>
      <c r="BK20" s="24"/>
      <c r="BL20" s="24">
        <v>11</v>
      </c>
      <c r="BW20" s="24">
        <v>21</v>
      </c>
      <c r="BX20" s="4" t="s">
        <v>77</v>
      </c>
    </row>
    <row r="21" spans="1:76">
      <c r="A21" s="27"/>
      <c r="C21" s="28" t="s">
        <v>54</v>
      </c>
      <c r="D21" s="28" t="s">
        <v>51</v>
      </c>
      <c r="F21" s="29">
        <v>1</v>
      </c>
      <c r="K21" s="30"/>
    </row>
    <row r="22" spans="1:76">
      <c r="A22" s="2" t="s">
        <v>78</v>
      </c>
      <c r="B22" s="3" t="s">
        <v>79</v>
      </c>
      <c r="C22" s="72" t="s">
        <v>80</v>
      </c>
      <c r="D22" s="67"/>
      <c r="E22" s="3" t="s">
        <v>81</v>
      </c>
      <c r="F22" s="24">
        <v>9</v>
      </c>
      <c r="G22" s="24">
        <v>0</v>
      </c>
      <c r="H22" s="24">
        <f>F22*AO22</f>
        <v>0</v>
      </c>
      <c r="I22" s="24">
        <f>F22*AP22</f>
        <v>0</v>
      </c>
      <c r="J22" s="24">
        <f>F22*G22</f>
        <v>0</v>
      </c>
      <c r="K22" s="25" t="s">
        <v>71</v>
      </c>
      <c r="Z22" s="24">
        <f>IF(AQ22="5",BJ22,0)</f>
        <v>0</v>
      </c>
      <c r="AB22" s="24">
        <f>IF(AQ22="1",BH22,0)</f>
        <v>0</v>
      </c>
      <c r="AC22" s="24">
        <f>IF(AQ22="1",BI22,0)</f>
        <v>0</v>
      </c>
      <c r="AD22" s="24">
        <f>IF(AQ22="7",BH22,0)</f>
        <v>0</v>
      </c>
      <c r="AE22" s="24">
        <f>IF(AQ22="7",BI22,0)</f>
        <v>0</v>
      </c>
      <c r="AF22" s="24">
        <f>IF(AQ22="2",BH22,0)</f>
        <v>0</v>
      </c>
      <c r="AG22" s="24">
        <f>IF(AQ22="2",BI22,0)</f>
        <v>0</v>
      </c>
      <c r="AH22" s="24">
        <f>IF(AQ22="0",BJ22,0)</f>
        <v>0</v>
      </c>
      <c r="AI22" s="10" t="s">
        <v>51</v>
      </c>
      <c r="AJ22" s="24">
        <f>IF(AN22=0,J22,0)</f>
        <v>0</v>
      </c>
      <c r="AK22" s="24">
        <f>IF(AN22=12,J22,0)</f>
        <v>0</v>
      </c>
      <c r="AL22" s="24">
        <f>IF(AN22=21,J22,0)</f>
        <v>0</v>
      </c>
      <c r="AN22" s="24">
        <v>21</v>
      </c>
      <c r="AO22" s="24">
        <f>G22*0</f>
        <v>0</v>
      </c>
      <c r="AP22" s="24">
        <f>G22*(1-0)</f>
        <v>0</v>
      </c>
      <c r="AQ22" s="26" t="s">
        <v>54</v>
      </c>
      <c r="AV22" s="24">
        <f>AW22+AX22</f>
        <v>0</v>
      </c>
      <c r="AW22" s="24">
        <f>F22*AO22</f>
        <v>0</v>
      </c>
      <c r="AX22" s="24">
        <f>F22*AP22</f>
        <v>0</v>
      </c>
      <c r="AY22" s="26" t="s">
        <v>72</v>
      </c>
      <c r="AZ22" s="26" t="s">
        <v>73</v>
      </c>
      <c r="BA22" s="10" t="s">
        <v>59</v>
      </c>
      <c r="BC22" s="24">
        <f>AW22+AX22</f>
        <v>0</v>
      </c>
      <c r="BD22" s="24">
        <f>G22/(100-BE22)*100</f>
        <v>0</v>
      </c>
      <c r="BE22" s="24">
        <v>0</v>
      </c>
      <c r="BF22" s="24">
        <f>22</f>
        <v>22</v>
      </c>
      <c r="BH22" s="24">
        <f>F22*AO22</f>
        <v>0</v>
      </c>
      <c r="BI22" s="24">
        <f>F22*AP22</f>
        <v>0</v>
      </c>
      <c r="BJ22" s="24">
        <f>F22*G22</f>
        <v>0</v>
      </c>
      <c r="BK22" s="24"/>
      <c r="BL22" s="24">
        <v>11</v>
      </c>
      <c r="BW22" s="24">
        <v>21</v>
      </c>
      <c r="BX22" s="4" t="s">
        <v>80</v>
      </c>
    </row>
    <row r="23" spans="1:76">
      <c r="A23" s="27"/>
      <c r="C23" s="28" t="s">
        <v>82</v>
      </c>
      <c r="D23" s="28" t="s">
        <v>51</v>
      </c>
      <c r="F23" s="29">
        <v>9</v>
      </c>
      <c r="K23" s="30"/>
    </row>
    <row r="24" spans="1:76">
      <c r="A24" s="2" t="s">
        <v>83</v>
      </c>
      <c r="B24" s="3" t="s">
        <v>84</v>
      </c>
      <c r="C24" s="72" t="s">
        <v>85</v>
      </c>
      <c r="D24" s="67"/>
      <c r="E24" s="3" t="s">
        <v>81</v>
      </c>
      <c r="F24" s="24">
        <v>9</v>
      </c>
      <c r="G24" s="24">
        <v>0</v>
      </c>
      <c r="H24" s="24">
        <f>F24*AO24</f>
        <v>0</v>
      </c>
      <c r="I24" s="24">
        <f>F24*AP24</f>
        <v>0</v>
      </c>
      <c r="J24" s="24">
        <f>F24*G24</f>
        <v>0</v>
      </c>
      <c r="K24" s="25" t="s">
        <v>71</v>
      </c>
      <c r="Z24" s="24">
        <f>IF(AQ24="5",BJ24,0)</f>
        <v>0</v>
      </c>
      <c r="AB24" s="24">
        <f>IF(AQ24="1",BH24,0)</f>
        <v>0</v>
      </c>
      <c r="AC24" s="24">
        <f>IF(AQ24="1",BI24,0)</f>
        <v>0</v>
      </c>
      <c r="AD24" s="24">
        <f>IF(AQ24="7",BH24,0)</f>
        <v>0</v>
      </c>
      <c r="AE24" s="24">
        <f>IF(AQ24="7",BI24,0)</f>
        <v>0</v>
      </c>
      <c r="AF24" s="24">
        <f>IF(AQ24="2",BH24,0)</f>
        <v>0</v>
      </c>
      <c r="AG24" s="24">
        <f>IF(AQ24="2",BI24,0)</f>
        <v>0</v>
      </c>
      <c r="AH24" s="24">
        <f>IF(AQ24="0",BJ24,0)</f>
        <v>0</v>
      </c>
      <c r="AI24" s="10" t="s">
        <v>51</v>
      </c>
      <c r="AJ24" s="24">
        <f>IF(AN24=0,J24,0)</f>
        <v>0</v>
      </c>
      <c r="AK24" s="24">
        <f>IF(AN24=12,J24,0)</f>
        <v>0</v>
      </c>
      <c r="AL24" s="24">
        <f>IF(AN24=21,J24,0)</f>
        <v>0</v>
      </c>
      <c r="AN24" s="24">
        <v>21</v>
      </c>
      <c r="AO24" s="24">
        <f>G24*0</f>
        <v>0</v>
      </c>
      <c r="AP24" s="24">
        <f>G24*(1-0)</f>
        <v>0</v>
      </c>
      <c r="AQ24" s="26" t="s">
        <v>54</v>
      </c>
      <c r="AV24" s="24">
        <f>AW24+AX24</f>
        <v>0</v>
      </c>
      <c r="AW24" s="24">
        <f>F24*AO24</f>
        <v>0</v>
      </c>
      <c r="AX24" s="24">
        <f>F24*AP24</f>
        <v>0</v>
      </c>
      <c r="AY24" s="26" t="s">
        <v>72</v>
      </c>
      <c r="AZ24" s="26" t="s">
        <v>73</v>
      </c>
      <c r="BA24" s="10" t="s">
        <v>59</v>
      </c>
      <c r="BC24" s="24">
        <f>AW24+AX24</f>
        <v>0</v>
      </c>
      <c r="BD24" s="24">
        <f>G24/(100-BE24)*100</f>
        <v>0</v>
      </c>
      <c r="BE24" s="24">
        <v>0</v>
      </c>
      <c r="BF24" s="24">
        <f>24</f>
        <v>24</v>
      </c>
      <c r="BH24" s="24">
        <f>F24*AO24</f>
        <v>0</v>
      </c>
      <c r="BI24" s="24">
        <f>F24*AP24</f>
        <v>0</v>
      </c>
      <c r="BJ24" s="24">
        <f>F24*G24</f>
        <v>0</v>
      </c>
      <c r="BK24" s="24"/>
      <c r="BL24" s="24">
        <v>11</v>
      </c>
      <c r="BW24" s="24">
        <v>21</v>
      </c>
      <c r="BX24" s="4" t="s">
        <v>85</v>
      </c>
    </row>
    <row r="25" spans="1:76">
      <c r="A25" s="27"/>
      <c r="C25" s="28" t="s">
        <v>82</v>
      </c>
      <c r="D25" s="28" t="s">
        <v>51</v>
      </c>
      <c r="F25" s="29">
        <v>9</v>
      </c>
      <c r="K25" s="30"/>
    </row>
    <row r="26" spans="1:76">
      <c r="A26" s="31" t="s">
        <v>51</v>
      </c>
      <c r="B26" s="32" t="s">
        <v>86</v>
      </c>
      <c r="C26" s="88" t="s">
        <v>87</v>
      </c>
      <c r="D26" s="89"/>
      <c r="E26" s="33" t="s">
        <v>4</v>
      </c>
      <c r="F26" s="33" t="s">
        <v>4</v>
      </c>
      <c r="G26" s="33" t="s">
        <v>4</v>
      </c>
      <c r="H26" s="1">
        <f>SUM(H27:H39)</f>
        <v>0</v>
      </c>
      <c r="I26" s="1">
        <f>SUM(I27:I39)</f>
        <v>0</v>
      </c>
      <c r="J26" s="1">
        <f>SUM(J27:J39)</f>
        <v>0</v>
      </c>
      <c r="K26" s="34" t="s">
        <v>51</v>
      </c>
      <c r="AI26" s="10" t="s">
        <v>51</v>
      </c>
      <c r="AS26" s="1">
        <f>SUM(AJ27:AJ39)</f>
        <v>0</v>
      </c>
      <c r="AT26" s="1">
        <f>SUM(AK27:AK39)</f>
        <v>0</v>
      </c>
      <c r="AU26" s="1">
        <f>SUM(AL27:AL39)</f>
        <v>0</v>
      </c>
    </row>
    <row r="27" spans="1:76">
      <c r="A27" s="2" t="s">
        <v>88</v>
      </c>
      <c r="B27" s="3" t="s">
        <v>89</v>
      </c>
      <c r="C27" s="72" t="s">
        <v>90</v>
      </c>
      <c r="D27" s="67"/>
      <c r="E27" s="3" t="s">
        <v>91</v>
      </c>
      <c r="F27" s="24">
        <v>76.257499999999993</v>
      </c>
      <c r="G27" s="24">
        <v>0</v>
      </c>
      <c r="H27" s="24">
        <f>F27*AO27</f>
        <v>0</v>
      </c>
      <c r="I27" s="24">
        <f>F27*AP27</f>
        <v>0</v>
      </c>
      <c r="J27" s="24">
        <f>F27*G27</f>
        <v>0</v>
      </c>
      <c r="K27" s="25" t="s">
        <v>71</v>
      </c>
      <c r="Z27" s="24">
        <f>IF(AQ27="5",BJ27,0)</f>
        <v>0</v>
      </c>
      <c r="AB27" s="24">
        <f>IF(AQ27="1",BH27,0)</f>
        <v>0</v>
      </c>
      <c r="AC27" s="24">
        <f>IF(AQ27="1",BI27,0)</f>
        <v>0</v>
      </c>
      <c r="AD27" s="24">
        <f>IF(AQ27="7",BH27,0)</f>
        <v>0</v>
      </c>
      <c r="AE27" s="24">
        <f>IF(AQ27="7",BI27,0)</f>
        <v>0</v>
      </c>
      <c r="AF27" s="24">
        <f>IF(AQ27="2",BH27,0)</f>
        <v>0</v>
      </c>
      <c r="AG27" s="24">
        <f>IF(AQ27="2",BI27,0)</f>
        <v>0</v>
      </c>
      <c r="AH27" s="24">
        <f>IF(AQ27="0",BJ27,0)</f>
        <v>0</v>
      </c>
      <c r="AI27" s="10" t="s">
        <v>51</v>
      </c>
      <c r="AJ27" s="24">
        <f>IF(AN27=0,J27,0)</f>
        <v>0</v>
      </c>
      <c r="AK27" s="24">
        <f>IF(AN27=12,J27,0)</f>
        <v>0</v>
      </c>
      <c r="AL27" s="24">
        <f>IF(AN27=21,J27,0)</f>
        <v>0</v>
      </c>
      <c r="AN27" s="24">
        <v>21</v>
      </c>
      <c r="AO27" s="24">
        <f>G27*0</f>
        <v>0</v>
      </c>
      <c r="AP27" s="24">
        <f>G27*(1-0)</f>
        <v>0</v>
      </c>
      <c r="AQ27" s="26" t="s">
        <v>54</v>
      </c>
      <c r="AV27" s="24">
        <f>AW27+AX27</f>
        <v>0</v>
      </c>
      <c r="AW27" s="24">
        <f>F27*AO27</f>
        <v>0</v>
      </c>
      <c r="AX27" s="24">
        <f>F27*AP27</f>
        <v>0</v>
      </c>
      <c r="AY27" s="26" t="s">
        <v>92</v>
      </c>
      <c r="AZ27" s="26" t="s">
        <v>73</v>
      </c>
      <c r="BA27" s="10" t="s">
        <v>59</v>
      </c>
      <c r="BC27" s="24">
        <f>AW27+AX27</f>
        <v>0</v>
      </c>
      <c r="BD27" s="24">
        <f>G27/(100-BE27)*100</f>
        <v>0</v>
      </c>
      <c r="BE27" s="24">
        <v>0</v>
      </c>
      <c r="BF27" s="24">
        <f>27</f>
        <v>27</v>
      </c>
      <c r="BH27" s="24">
        <f>F27*AO27</f>
        <v>0</v>
      </c>
      <c r="BI27" s="24">
        <f>F27*AP27</f>
        <v>0</v>
      </c>
      <c r="BJ27" s="24">
        <f>F27*G27</f>
        <v>0</v>
      </c>
      <c r="BK27" s="24"/>
      <c r="BL27" s="24">
        <v>13</v>
      </c>
      <c r="BW27" s="24">
        <v>21</v>
      </c>
      <c r="BX27" s="4" t="s">
        <v>90</v>
      </c>
    </row>
    <row r="28" spans="1:76">
      <c r="A28" s="27"/>
      <c r="C28" s="28" t="s">
        <v>93</v>
      </c>
      <c r="D28" s="28" t="s">
        <v>51</v>
      </c>
      <c r="F28" s="29">
        <v>76.257499999999993</v>
      </c>
      <c r="K28" s="30"/>
    </row>
    <row r="29" spans="1:76">
      <c r="A29" s="2" t="s">
        <v>94</v>
      </c>
      <c r="B29" s="3" t="s">
        <v>95</v>
      </c>
      <c r="C29" s="72" t="s">
        <v>96</v>
      </c>
      <c r="D29" s="67"/>
      <c r="E29" s="3" t="s">
        <v>91</v>
      </c>
      <c r="F29" s="24">
        <v>15.2515</v>
      </c>
      <c r="G29" s="24">
        <v>0</v>
      </c>
      <c r="H29" s="24">
        <f>F29*AO29</f>
        <v>0</v>
      </c>
      <c r="I29" s="24">
        <f>F29*AP29</f>
        <v>0</v>
      </c>
      <c r="J29" s="24">
        <f>F29*G29</f>
        <v>0</v>
      </c>
      <c r="K29" s="25" t="s">
        <v>71</v>
      </c>
      <c r="Z29" s="24">
        <f>IF(AQ29="5",BJ29,0)</f>
        <v>0</v>
      </c>
      <c r="AB29" s="24">
        <f>IF(AQ29="1",BH29,0)</f>
        <v>0</v>
      </c>
      <c r="AC29" s="24">
        <f>IF(AQ29="1",BI29,0)</f>
        <v>0</v>
      </c>
      <c r="AD29" s="24">
        <f>IF(AQ29="7",BH29,0)</f>
        <v>0</v>
      </c>
      <c r="AE29" s="24">
        <f>IF(AQ29="7",BI29,0)</f>
        <v>0</v>
      </c>
      <c r="AF29" s="24">
        <f>IF(AQ29="2",BH29,0)</f>
        <v>0</v>
      </c>
      <c r="AG29" s="24">
        <f>IF(AQ29="2",BI29,0)</f>
        <v>0</v>
      </c>
      <c r="AH29" s="24">
        <f>IF(AQ29="0",BJ29,0)</f>
        <v>0</v>
      </c>
      <c r="AI29" s="10" t="s">
        <v>51</v>
      </c>
      <c r="AJ29" s="24">
        <f>IF(AN29=0,J29,0)</f>
        <v>0</v>
      </c>
      <c r="AK29" s="24">
        <f>IF(AN29=12,J29,0)</f>
        <v>0</v>
      </c>
      <c r="AL29" s="24">
        <f>IF(AN29=21,J29,0)</f>
        <v>0</v>
      </c>
      <c r="AN29" s="24">
        <v>21</v>
      </c>
      <c r="AO29" s="24">
        <f>G29*0</f>
        <v>0</v>
      </c>
      <c r="AP29" s="24">
        <f>G29*(1-0)</f>
        <v>0</v>
      </c>
      <c r="AQ29" s="26" t="s">
        <v>54</v>
      </c>
      <c r="AV29" s="24">
        <f>AW29+AX29</f>
        <v>0</v>
      </c>
      <c r="AW29" s="24">
        <f>F29*AO29</f>
        <v>0</v>
      </c>
      <c r="AX29" s="24">
        <f>F29*AP29</f>
        <v>0</v>
      </c>
      <c r="AY29" s="26" t="s">
        <v>92</v>
      </c>
      <c r="AZ29" s="26" t="s">
        <v>73</v>
      </c>
      <c r="BA29" s="10" t="s">
        <v>59</v>
      </c>
      <c r="BC29" s="24">
        <f>AW29+AX29</f>
        <v>0</v>
      </c>
      <c r="BD29" s="24">
        <f>G29/(100-BE29)*100</f>
        <v>0</v>
      </c>
      <c r="BE29" s="24">
        <v>0</v>
      </c>
      <c r="BF29" s="24">
        <f>29</f>
        <v>29</v>
      </c>
      <c r="BH29" s="24">
        <f>F29*AO29</f>
        <v>0</v>
      </c>
      <c r="BI29" s="24">
        <f>F29*AP29</f>
        <v>0</v>
      </c>
      <c r="BJ29" s="24">
        <f>F29*G29</f>
        <v>0</v>
      </c>
      <c r="BK29" s="24"/>
      <c r="BL29" s="24">
        <v>13</v>
      </c>
      <c r="BW29" s="24">
        <v>21</v>
      </c>
      <c r="BX29" s="4" t="s">
        <v>96</v>
      </c>
    </row>
    <row r="30" spans="1:76">
      <c r="A30" s="27"/>
      <c r="C30" s="28" t="s">
        <v>97</v>
      </c>
      <c r="D30" s="28" t="s">
        <v>51</v>
      </c>
      <c r="F30" s="29">
        <v>15.2515</v>
      </c>
      <c r="K30" s="30"/>
    </row>
    <row r="31" spans="1:76">
      <c r="A31" s="2" t="s">
        <v>82</v>
      </c>
      <c r="B31" s="3" t="s">
        <v>98</v>
      </c>
      <c r="C31" s="72" t="s">
        <v>99</v>
      </c>
      <c r="D31" s="67"/>
      <c r="E31" s="3" t="s">
        <v>91</v>
      </c>
      <c r="F31" s="24">
        <v>1.8860399999999999</v>
      </c>
      <c r="G31" s="24">
        <v>0</v>
      </c>
      <c r="H31" s="24">
        <f>F31*AO31</f>
        <v>0</v>
      </c>
      <c r="I31" s="24">
        <f>F31*AP31</f>
        <v>0</v>
      </c>
      <c r="J31" s="24">
        <f>F31*G31</f>
        <v>0</v>
      </c>
      <c r="K31" s="25" t="s">
        <v>71</v>
      </c>
      <c r="Z31" s="24">
        <f>IF(AQ31="5",BJ31,0)</f>
        <v>0</v>
      </c>
      <c r="AB31" s="24">
        <f>IF(AQ31="1",BH31,0)</f>
        <v>0</v>
      </c>
      <c r="AC31" s="24">
        <f>IF(AQ31="1",BI31,0)</f>
        <v>0</v>
      </c>
      <c r="AD31" s="24">
        <f>IF(AQ31="7",BH31,0)</f>
        <v>0</v>
      </c>
      <c r="AE31" s="24">
        <f>IF(AQ31="7",BI31,0)</f>
        <v>0</v>
      </c>
      <c r="AF31" s="24">
        <f>IF(AQ31="2",BH31,0)</f>
        <v>0</v>
      </c>
      <c r="AG31" s="24">
        <f>IF(AQ31="2",BI31,0)</f>
        <v>0</v>
      </c>
      <c r="AH31" s="24">
        <f>IF(AQ31="0",BJ31,0)</f>
        <v>0</v>
      </c>
      <c r="AI31" s="10" t="s">
        <v>51</v>
      </c>
      <c r="AJ31" s="24">
        <f>IF(AN31=0,J31,0)</f>
        <v>0</v>
      </c>
      <c r="AK31" s="24">
        <f>IF(AN31=12,J31,0)</f>
        <v>0</v>
      </c>
      <c r="AL31" s="24">
        <f>IF(AN31=21,J31,0)</f>
        <v>0</v>
      </c>
      <c r="AN31" s="24">
        <v>21</v>
      </c>
      <c r="AO31" s="24">
        <f>G31*0</f>
        <v>0</v>
      </c>
      <c r="AP31" s="24">
        <f>G31*(1-0)</f>
        <v>0</v>
      </c>
      <c r="AQ31" s="26" t="s">
        <v>54</v>
      </c>
      <c r="AV31" s="24">
        <f>AW31+AX31</f>
        <v>0</v>
      </c>
      <c r="AW31" s="24">
        <f>F31*AO31</f>
        <v>0</v>
      </c>
      <c r="AX31" s="24">
        <f>F31*AP31</f>
        <v>0</v>
      </c>
      <c r="AY31" s="26" t="s">
        <v>92</v>
      </c>
      <c r="AZ31" s="26" t="s">
        <v>73</v>
      </c>
      <c r="BA31" s="10" t="s">
        <v>59</v>
      </c>
      <c r="BC31" s="24">
        <f>AW31+AX31</f>
        <v>0</v>
      </c>
      <c r="BD31" s="24">
        <f>G31/(100-BE31)*100</f>
        <v>0</v>
      </c>
      <c r="BE31" s="24">
        <v>0</v>
      </c>
      <c r="BF31" s="24">
        <f>31</f>
        <v>31</v>
      </c>
      <c r="BH31" s="24">
        <f>F31*AO31</f>
        <v>0</v>
      </c>
      <c r="BI31" s="24">
        <f>F31*AP31</f>
        <v>0</v>
      </c>
      <c r="BJ31" s="24">
        <f>F31*G31</f>
        <v>0</v>
      </c>
      <c r="BK31" s="24"/>
      <c r="BL31" s="24">
        <v>13</v>
      </c>
      <c r="BW31" s="24">
        <v>21</v>
      </c>
      <c r="BX31" s="4" t="s">
        <v>99</v>
      </c>
    </row>
    <row r="32" spans="1:76">
      <c r="A32" s="27"/>
      <c r="C32" s="28" t="s">
        <v>100</v>
      </c>
      <c r="D32" s="28" t="s">
        <v>51</v>
      </c>
      <c r="F32" s="29">
        <v>1.8860399999999999</v>
      </c>
      <c r="K32" s="30"/>
    </row>
    <row r="33" spans="1:76">
      <c r="A33" s="2" t="s">
        <v>101</v>
      </c>
      <c r="B33" s="3" t="s">
        <v>102</v>
      </c>
      <c r="C33" s="72" t="s">
        <v>103</v>
      </c>
      <c r="D33" s="67"/>
      <c r="E33" s="3" t="s">
        <v>91</v>
      </c>
      <c r="F33" s="24">
        <v>123.714</v>
      </c>
      <c r="G33" s="24">
        <v>0</v>
      </c>
      <c r="H33" s="24">
        <f>F33*AO33</f>
        <v>0</v>
      </c>
      <c r="I33" s="24">
        <f>F33*AP33</f>
        <v>0</v>
      </c>
      <c r="J33" s="24">
        <f>F33*G33</f>
        <v>0</v>
      </c>
      <c r="K33" s="25" t="s">
        <v>71</v>
      </c>
      <c r="Z33" s="24">
        <f>IF(AQ33="5",BJ33,0)</f>
        <v>0</v>
      </c>
      <c r="AB33" s="24">
        <f>IF(AQ33="1",BH33,0)</f>
        <v>0</v>
      </c>
      <c r="AC33" s="24">
        <f>IF(AQ33="1",BI33,0)</f>
        <v>0</v>
      </c>
      <c r="AD33" s="24">
        <f>IF(AQ33="7",BH33,0)</f>
        <v>0</v>
      </c>
      <c r="AE33" s="24">
        <f>IF(AQ33="7",BI33,0)</f>
        <v>0</v>
      </c>
      <c r="AF33" s="24">
        <f>IF(AQ33="2",BH33,0)</f>
        <v>0</v>
      </c>
      <c r="AG33" s="24">
        <f>IF(AQ33="2",BI33,0)</f>
        <v>0</v>
      </c>
      <c r="AH33" s="24">
        <f>IF(AQ33="0",BJ33,0)</f>
        <v>0</v>
      </c>
      <c r="AI33" s="10" t="s">
        <v>51</v>
      </c>
      <c r="AJ33" s="24">
        <f>IF(AN33=0,J33,0)</f>
        <v>0</v>
      </c>
      <c r="AK33" s="24">
        <f>IF(AN33=12,J33,0)</f>
        <v>0</v>
      </c>
      <c r="AL33" s="24">
        <f>IF(AN33=21,J33,0)</f>
        <v>0</v>
      </c>
      <c r="AN33" s="24">
        <v>21</v>
      </c>
      <c r="AO33" s="24">
        <f>G33*0.039986873</f>
        <v>0</v>
      </c>
      <c r="AP33" s="24">
        <f>G33*(1-0.039986873)</f>
        <v>0</v>
      </c>
      <c r="AQ33" s="26" t="s">
        <v>54</v>
      </c>
      <c r="AV33" s="24">
        <f>AW33+AX33</f>
        <v>0</v>
      </c>
      <c r="AW33" s="24">
        <f>F33*AO33</f>
        <v>0</v>
      </c>
      <c r="AX33" s="24">
        <f>F33*AP33</f>
        <v>0</v>
      </c>
      <c r="AY33" s="26" t="s">
        <v>92</v>
      </c>
      <c r="AZ33" s="26" t="s">
        <v>73</v>
      </c>
      <c r="BA33" s="10" t="s">
        <v>59</v>
      </c>
      <c r="BC33" s="24">
        <f>AW33+AX33</f>
        <v>0</v>
      </c>
      <c r="BD33" s="24">
        <f>G33/(100-BE33)*100</f>
        <v>0</v>
      </c>
      <c r="BE33" s="24">
        <v>0</v>
      </c>
      <c r="BF33" s="24">
        <f>33</f>
        <v>33</v>
      </c>
      <c r="BH33" s="24">
        <f>F33*AO33</f>
        <v>0</v>
      </c>
      <c r="BI33" s="24">
        <f>F33*AP33</f>
        <v>0</v>
      </c>
      <c r="BJ33" s="24">
        <f>F33*G33</f>
        <v>0</v>
      </c>
      <c r="BK33" s="24"/>
      <c r="BL33" s="24">
        <v>13</v>
      </c>
      <c r="BW33" s="24">
        <v>21</v>
      </c>
      <c r="BX33" s="4" t="s">
        <v>103</v>
      </c>
    </row>
    <row r="34" spans="1:76">
      <c r="A34" s="27"/>
      <c r="C34" s="28" t="s">
        <v>104</v>
      </c>
      <c r="D34" s="28" t="s">
        <v>51</v>
      </c>
      <c r="F34" s="29">
        <v>123.714</v>
      </c>
      <c r="K34" s="30"/>
    </row>
    <row r="35" spans="1:76">
      <c r="A35" s="2" t="s">
        <v>65</v>
      </c>
      <c r="B35" s="3" t="s">
        <v>105</v>
      </c>
      <c r="C35" s="72" t="s">
        <v>106</v>
      </c>
      <c r="D35" s="67"/>
      <c r="E35" s="3" t="s">
        <v>91</v>
      </c>
      <c r="F35" s="24">
        <v>24.742799999999999</v>
      </c>
      <c r="G35" s="24">
        <v>0</v>
      </c>
      <c r="H35" s="24">
        <f>F35*AO35</f>
        <v>0</v>
      </c>
      <c r="I35" s="24">
        <f>F35*AP35</f>
        <v>0</v>
      </c>
      <c r="J35" s="24">
        <f>F35*G35</f>
        <v>0</v>
      </c>
      <c r="K35" s="25" t="s">
        <v>71</v>
      </c>
      <c r="Z35" s="24">
        <f>IF(AQ35="5",BJ35,0)</f>
        <v>0</v>
      </c>
      <c r="AB35" s="24">
        <f>IF(AQ35="1",BH35,0)</f>
        <v>0</v>
      </c>
      <c r="AC35" s="24">
        <f>IF(AQ35="1",BI35,0)</f>
        <v>0</v>
      </c>
      <c r="AD35" s="24">
        <f>IF(AQ35="7",BH35,0)</f>
        <v>0</v>
      </c>
      <c r="AE35" s="24">
        <f>IF(AQ35="7",BI35,0)</f>
        <v>0</v>
      </c>
      <c r="AF35" s="24">
        <f>IF(AQ35="2",BH35,0)</f>
        <v>0</v>
      </c>
      <c r="AG35" s="24">
        <f>IF(AQ35="2",BI35,0)</f>
        <v>0</v>
      </c>
      <c r="AH35" s="24">
        <f>IF(AQ35="0",BJ35,0)</f>
        <v>0</v>
      </c>
      <c r="AI35" s="10" t="s">
        <v>51</v>
      </c>
      <c r="AJ35" s="24">
        <f>IF(AN35=0,J35,0)</f>
        <v>0</v>
      </c>
      <c r="AK35" s="24">
        <f>IF(AN35=12,J35,0)</f>
        <v>0</v>
      </c>
      <c r="AL35" s="24">
        <f>IF(AN35=21,J35,0)</f>
        <v>0</v>
      </c>
      <c r="AN35" s="24">
        <v>21</v>
      </c>
      <c r="AO35" s="24">
        <f>G35*0</f>
        <v>0</v>
      </c>
      <c r="AP35" s="24">
        <f>G35*(1-0)</f>
        <v>0</v>
      </c>
      <c r="AQ35" s="26" t="s">
        <v>54</v>
      </c>
      <c r="AV35" s="24">
        <f>AW35+AX35</f>
        <v>0</v>
      </c>
      <c r="AW35" s="24">
        <f>F35*AO35</f>
        <v>0</v>
      </c>
      <c r="AX35" s="24">
        <f>F35*AP35</f>
        <v>0</v>
      </c>
      <c r="AY35" s="26" t="s">
        <v>92</v>
      </c>
      <c r="AZ35" s="26" t="s">
        <v>73</v>
      </c>
      <c r="BA35" s="10" t="s">
        <v>59</v>
      </c>
      <c r="BC35" s="24">
        <f>AW35+AX35</f>
        <v>0</v>
      </c>
      <c r="BD35" s="24">
        <f>G35/(100-BE35)*100</f>
        <v>0</v>
      </c>
      <c r="BE35" s="24">
        <v>0</v>
      </c>
      <c r="BF35" s="24">
        <f>35</f>
        <v>35</v>
      </c>
      <c r="BH35" s="24">
        <f>F35*AO35</f>
        <v>0</v>
      </c>
      <c r="BI35" s="24">
        <f>F35*AP35</f>
        <v>0</v>
      </c>
      <c r="BJ35" s="24">
        <f>F35*G35</f>
        <v>0</v>
      </c>
      <c r="BK35" s="24"/>
      <c r="BL35" s="24">
        <v>13</v>
      </c>
      <c r="BW35" s="24">
        <v>21</v>
      </c>
      <c r="BX35" s="4" t="s">
        <v>106</v>
      </c>
    </row>
    <row r="36" spans="1:76">
      <c r="A36" s="27"/>
      <c r="C36" s="28" t="s">
        <v>107</v>
      </c>
      <c r="D36" s="28" t="s">
        <v>51</v>
      </c>
      <c r="F36" s="29">
        <v>24.742799999999999</v>
      </c>
      <c r="K36" s="30"/>
    </row>
    <row r="37" spans="1:76">
      <c r="A37" s="2" t="s">
        <v>108</v>
      </c>
      <c r="B37" s="3" t="s">
        <v>109</v>
      </c>
      <c r="C37" s="72" t="s">
        <v>110</v>
      </c>
      <c r="D37" s="67"/>
      <c r="E37" s="3" t="s">
        <v>70</v>
      </c>
      <c r="F37" s="24">
        <v>137.9</v>
      </c>
      <c r="G37" s="24">
        <v>0</v>
      </c>
      <c r="H37" s="24">
        <f>F37*AO37</f>
        <v>0</v>
      </c>
      <c r="I37" s="24">
        <f>F37*AP37</f>
        <v>0</v>
      </c>
      <c r="J37" s="24">
        <f>F37*G37</f>
        <v>0</v>
      </c>
      <c r="K37" s="25" t="s">
        <v>71</v>
      </c>
      <c r="Z37" s="24">
        <f>IF(AQ37="5",BJ37,0)</f>
        <v>0</v>
      </c>
      <c r="AB37" s="24">
        <f>IF(AQ37="1",BH37,0)</f>
        <v>0</v>
      </c>
      <c r="AC37" s="24">
        <f>IF(AQ37="1",BI37,0)</f>
        <v>0</v>
      </c>
      <c r="AD37" s="24">
        <f>IF(AQ37="7",BH37,0)</f>
        <v>0</v>
      </c>
      <c r="AE37" s="24">
        <f>IF(AQ37="7",BI37,0)</f>
        <v>0</v>
      </c>
      <c r="AF37" s="24">
        <f>IF(AQ37="2",BH37,0)</f>
        <v>0</v>
      </c>
      <c r="AG37" s="24">
        <f>IF(AQ37="2",BI37,0)</f>
        <v>0</v>
      </c>
      <c r="AH37" s="24">
        <f>IF(AQ37="0",BJ37,0)</f>
        <v>0</v>
      </c>
      <c r="AI37" s="10" t="s">
        <v>51</v>
      </c>
      <c r="AJ37" s="24">
        <f>IF(AN37=0,J37,0)</f>
        <v>0</v>
      </c>
      <c r="AK37" s="24">
        <f>IF(AN37=12,J37,0)</f>
        <v>0</v>
      </c>
      <c r="AL37" s="24">
        <f>IF(AN37=21,J37,0)</f>
        <v>0</v>
      </c>
      <c r="AN37" s="24">
        <v>21</v>
      </c>
      <c r="AO37" s="24">
        <f>G37*0</f>
        <v>0</v>
      </c>
      <c r="AP37" s="24">
        <f>G37*(1-0)</f>
        <v>0</v>
      </c>
      <c r="AQ37" s="26" t="s">
        <v>54</v>
      </c>
      <c r="AV37" s="24">
        <f>AW37+AX37</f>
        <v>0</v>
      </c>
      <c r="AW37" s="24">
        <f>F37*AO37</f>
        <v>0</v>
      </c>
      <c r="AX37" s="24">
        <f>F37*AP37</f>
        <v>0</v>
      </c>
      <c r="AY37" s="26" t="s">
        <v>92</v>
      </c>
      <c r="AZ37" s="26" t="s">
        <v>73</v>
      </c>
      <c r="BA37" s="10" t="s">
        <v>59</v>
      </c>
      <c r="BC37" s="24">
        <f>AW37+AX37</f>
        <v>0</v>
      </c>
      <c r="BD37" s="24">
        <f>G37/(100-BE37)*100</f>
        <v>0</v>
      </c>
      <c r="BE37" s="24">
        <v>0</v>
      </c>
      <c r="BF37" s="24">
        <f>37</f>
        <v>37</v>
      </c>
      <c r="BH37" s="24">
        <f>F37*AO37</f>
        <v>0</v>
      </c>
      <c r="BI37" s="24">
        <f>F37*AP37</f>
        <v>0</v>
      </c>
      <c r="BJ37" s="24">
        <f>F37*G37</f>
        <v>0</v>
      </c>
      <c r="BK37" s="24"/>
      <c r="BL37" s="24">
        <v>13</v>
      </c>
      <c r="BW37" s="24">
        <v>21</v>
      </c>
      <c r="BX37" s="4" t="s">
        <v>110</v>
      </c>
    </row>
    <row r="38" spans="1:76">
      <c r="A38" s="27"/>
      <c r="C38" s="28" t="s">
        <v>111</v>
      </c>
      <c r="D38" s="28" t="s">
        <v>51</v>
      </c>
      <c r="F38" s="29">
        <v>137.9</v>
      </c>
      <c r="K38" s="30"/>
    </row>
    <row r="39" spans="1:76">
      <c r="A39" s="2" t="s">
        <v>86</v>
      </c>
      <c r="B39" s="3" t="s">
        <v>112</v>
      </c>
      <c r="C39" s="72" t="s">
        <v>113</v>
      </c>
      <c r="D39" s="67"/>
      <c r="E39" s="3" t="s">
        <v>91</v>
      </c>
      <c r="F39" s="24">
        <v>87.36</v>
      </c>
      <c r="G39" s="24">
        <v>0</v>
      </c>
      <c r="H39" s="24">
        <f>F39*AO39</f>
        <v>0</v>
      </c>
      <c r="I39" s="24">
        <f>F39*AP39</f>
        <v>0</v>
      </c>
      <c r="J39" s="24">
        <f>F39*G39</f>
        <v>0</v>
      </c>
      <c r="K39" s="25" t="s">
        <v>71</v>
      </c>
      <c r="Z39" s="24">
        <f>IF(AQ39="5",BJ39,0)</f>
        <v>0</v>
      </c>
      <c r="AB39" s="24">
        <f>IF(AQ39="1",BH39,0)</f>
        <v>0</v>
      </c>
      <c r="AC39" s="24">
        <f>IF(AQ39="1",BI39,0)</f>
        <v>0</v>
      </c>
      <c r="AD39" s="24">
        <f>IF(AQ39="7",BH39,0)</f>
        <v>0</v>
      </c>
      <c r="AE39" s="24">
        <f>IF(AQ39="7",BI39,0)</f>
        <v>0</v>
      </c>
      <c r="AF39" s="24">
        <f>IF(AQ39="2",BH39,0)</f>
        <v>0</v>
      </c>
      <c r="AG39" s="24">
        <f>IF(AQ39="2",BI39,0)</f>
        <v>0</v>
      </c>
      <c r="AH39" s="24">
        <f>IF(AQ39="0",BJ39,0)</f>
        <v>0</v>
      </c>
      <c r="AI39" s="10" t="s">
        <v>51</v>
      </c>
      <c r="AJ39" s="24">
        <f>IF(AN39=0,J39,0)</f>
        <v>0</v>
      </c>
      <c r="AK39" s="24">
        <f>IF(AN39=12,J39,0)</f>
        <v>0</v>
      </c>
      <c r="AL39" s="24">
        <f>IF(AN39=21,J39,0)</f>
        <v>0</v>
      </c>
      <c r="AN39" s="24">
        <v>21</v>
      </c>
      <c r="AO39" s="24">
        <f>G39*0</f>
        <v>0</v>
      </c>
      <c r="AP39" s="24">
        <f>G39*(1-0)</f>
        <v>0</v>
      </c>
      <c r="AQ39" s="26" t="s">
        <v>54</v>
      </c>
      <c r="AV39" s="24">
        <f>AW39+AX39</f>
        <v>0</v>
      </c>
      <c r="AW39" s="24">
        <f>F39*AO39</f>
        <v>0</v>
      </c>
      <c r="AX39" s="24">
        <f>F39*AP39</f>
        <v>0</v>
      </c>
      <c r="AY39" s="26" t="s">
        <v>92</v>
      </c>
      <c r="AZ39" s="26" t="s">
        <v>73</v>
      </c>
      <c r="BA39" s="10" t="s">
        <v>59</v>
      </c>
      <c r="BC39" s="24">
        <f>AW39+AX39</f>
        <v>0</v>
      </c>
      <c r="BD39" s="24">
        <f>G39/(100-BE39)*100</f>
        <v>0</v>
      </c>
      <c r="BE39" s="24">
        <v>0</v>
      </c>
      <c r="BF39" s="24">
        <f>39</f>
        <v>39</v>
      </c>
      <c r="BH39" s="24">
        <f>F39*AO39</f>
        <v>0</v>
      </c>
      <c r="BI39" s="24">
        <f>F39*AP39</f>
        <v>0</v>
      </c>
      <c r="BJ39" s="24">
        <f>F39*G39</f>
        <v>0</v>
      </c>
      <c r="BK39" s="24"/>
      <c r="BL39" s="24">
        <v>13</v>
      </c>
      <c r="BW39" s="24">
        <v>21</v>
      </c>
      <c r="BX39" s="4" t="s">
        <v>113</v>
      </c>
    </row>
    <row r="40" spans="1:76">
      <c r="A40" s="27"/>
      <c r="C40" s="28" t="s">
        <v>114</v>
      </c>
      <c r="D40" s="28" t="s">
        <v>51</v>
      </c>
      <c r="F40" s="29">
        <v>80.959999999999994</v>
      </c>
      <c r="K40" s="30"/>
    </row>
    <row r="41" spans="1:76">
      <c r="A41" s="27"/>
      <c r="C41" s="28" t="s">
        <v>115</v>
      </c>
      <c r="D41" s="28" t="s">
        <v>51</v>
      </c>
      <c r="F41" s="29">
        <v>6.4</v>
      </c>
      <c r="K41" s="30"/>
    </row>
    <row r="42" spans="1:76">
      <c r="A42" s="27"/>
      <c r="C42" s="28" t="s">
        <v>116</v>
      </c>
      <c r="D42" s="28" t="s">
        <v>51</v>
      </c>
      <c r="F42" s="29">
        <v>0</v>
      </c>
      <c r="K42" s="30"/>
    </row>
    <row r="43" spans="1:76">
      <c r="A43" s="31" t="s">
        <v>51</v>
      </c>
      <c r="B43" s="32" t="s">
        <v>117</v>
      </c>
      <c r="C43" s="88" t="s">
        <v>118</v>
      </c>
      <c r="D43" s="89"/>
      <c r="E43" s="33" t="s">
        <v>4</v>
      </c>
      <c r="F43" s="33" t="s">
        <v>4</v>
      </c>
      <c r="G43" s="33" t="s">
        <v>4</v>
      </c>
      <c r="H43" s="1">
        <f>SUM(H44:H56)</f>
        <v>0</v>
      </c>
      <c r="I43" s="1">
        <f>SUM(I44:I56)</f>
        <v>0</v>
      </c>
      <c r="J43" s="1">
        <f>SUM(J44:J56)</f>
        <v>0</v>
      </c>
      <c r="K43" s="34" t="s">
        <v>51</v>
      </c>
      <c r="AI43" s="10" t="s">
        <v>51</v>
      </c>
      <c r="AS43" s="1">
        <f>SUM(AJ44:AJ56)</f>
        <v>0</v>
      </c>
      <c r="AT43" s="1">
        <f>SUM(AK44:AK56)</f>
        <v>0</v>
      </c>
      <c r="AU43" s="1">
        <f>SUM(AL44:AL56)</f>
        <v>0</v>
      </c>
    </row>
    <row r="44" spans="1:76">
      <c r="A44" s="2" t="s">
        <v>119</v>
      </c>
      <c r="B44" s="3" t="s">
        <v>120</v>
      </c>
      <c r="C44" s="72" t="s">
        <v>121</v>
      </c>
      <c r="D44" s="67"/>
      <c r="E44" s="3" t="s">
        <v>122</v>
      </c>
      <c r="F44" s="24">
        <v>2</v>
      </c>
      <c r="G44" s="24">
        <v>0</v>
      </c>
      <c r="H44" s="24">
        <f>F44*AO44</f>
        <v>0</v>
      </c>
      <c r="I44" s="24">
        <f>F44*AP44</f>
        <v>0</v>
      </c>
      <c r="J44" s="24">
        <f>F44*G44</f>
        <v>0</v>
      </c>
      <c r="K44" s="25" t="s">
        <v>71</v>
      </c>
      <c r="Z44" s="24">
        <f>IF(AQ44="5",BJ44,0)</f>
        <v>0</v>
      </c>
      <c r="AB44" s="24">
        <f>IF(AQ44="1",BH44,0)</f>
        <v>0</v>
      </c>
      <c r="AC44" s="24">
        <f>IF(AQ44="1",BI44,0)</f>
        <v>0</v>
      </c>
      <c r="AD44" s="24">
        <f>IF(AQ44="7",BH44,0)</f>
        <v>0</v>
      </c>
      <c r="AE44" s="24">
        <f>IF(AQ44="7",BI44,0)</f>
        <v>0</v>
      </c>
      <c r="AF44" s="24">
        <f>IF(AQ44="2",BH44,0)</f>
        <v>0</v>
      </c>
      <c r="AG44" s="24">
        <f>IF(AQ44="2",BI44,0)</f>
        <v>0</v>
      </c>
      <c r="AH44" s="24">
        <f>IF(AQ44="0",BJ44,0)</f>
        <v>0</v>
      </c>
      <c r="AI44" s="10" t="s">
        <v>51</v>
      </c>
      <c r="AJ44" s="24">
        <f>IF(AN44=0,J44,0)</f>
        <v>0</v>
      </c>
      <c r="AK44" s="24">
        <f>IF(AN44=12,J44,0)</f>
        <v>0</v>
      </c>
      <c r="AL44" s="24">
        <f>IF(AN44=21,J44,0)</f>
        <v>0</v>
      </c>
      <c r="AN44" s="24">
        <v>21</v>
      </c>
      <c r="AO44" s="24">
        <f>G44*0</f>
        <v>0</v>
      </c>
      <c r="AP44" s="24">
        <f>G44*(1-0)</f>
        <v>0</v>
      </c>
      <c r="AQ44" s="26" t="s">
        <v>54</v>
      </c>
      <c r="AV44" s="24">
        <f>AW44+AX44</f>
        <v>0</v>
      </c>
      <c r="AW44" s="24">
        <f>F44*AO44</f>
        <v>0</v>
      </c>
      <c r="AX44" s="24">
        <f>F44*AP44</f>
        <v>0</v>
      </c>
      <c r="AY44" s="26" t="s">
        <v>123</v>
      </c>
      <c r="AZ44" s="26" t="s">
        <v>73</v>
      </c>
      <c r="BA44" s="10" t="s">
        <v>59</v>
      </c>
      <c r="BC44" s="24">
        <f>AW44+AX44</f>
        <v>0</v>
      </c>
      <c r="BD44" s="24">
        <f>G44/(100-BE44)*100</f>
        <v>0</v>
      </c>
      <c r="BE44" s="24">
        <v>0</v>
      </c>
      <c r="BF44" s="24">
        <f>44</f>
        <v>44</v>
      </c>
      <c r="BH44" s="24">
        <f>F44*AO44</f>
        <v>0</v>
      </c>
      <c r="BI44" s="24">
        <f>F44*AP44</f>
        <v>0</v>
      </c>
      <c r="BJ44" s="24">
        <f>F44*G44</f>
        <v>0</v>
      </c>
      <c r="BK44" s="24"/>
      <c r="BL44" s="24">
        <v>15</v>
      </c>
      <c r="BW44" s="24">
        <v>21</v>
      </c>
      <c r="BX44" s="4" t="s">
        <v>121</v>
      </c>
    </row>
    <row r="45" spans="1:76">
      <c r="A45" s="27"/>
      <c r="C45" s="28" t="s">
        <v>61</v>
      </c>
      <c r="D45" s="28" t="s">
        <v>51</v>
      </c>
      <c r="F45" s="29">
        <v>2</v>
      </c>
      <c r="K45" s="30"/>
    </row>
    <row r="46" spans="1:76">
      <c r="A46" s="2" t="s">
        <v>117</v>
      </c>
      <c r="B46" s="3" t="s">
        <v>124</v>
      </c>
      <c r="C46" s="72" t="s">
        <v>125</v>
      </c>
      <c r="D46" s="67"/>
      <c r="E46" s="3" t="s">
        <v>122</v>
      </c>
      <c r="F46" s="24">
        <v>2</v>
      </c>
      <c r="G46" s="24">
        <v>0</v>
      </c>
      <c r="H46" s="24">
        <f>F46*AO46</f>
        <v>0</v>
      </c>
      <c r="I46" s="24">
        <f>F46*AP46</f>
        <v>0</v>
      </c>
      <c r="J46" s="24">
        <f>F46*G46</f>
        <v>0</v>
      </c>
      <c r="K46" s="25" t="s">
        <v>71</v>
      </c>
      <c r="Z46" s="24">
        <f>IF(AQ46="5",BJ46,0)</f>
        <v>0</v>
      </c>
      <c r="AB46" s="24">
        <f>IF(AQ46="1",BH46,0)</f>
        <v>0</v>
      </c>
      <c r="AC46" s="24">
        <f>IF(AQ46="1",BI46,0)</f>
        <v>0</v>
      </c>
      <c r="AD46" s="24">
        <f>IF(AQ46="7",BH46,0)</f>
        <v>0</v>
      </c>
      <c r="AE46" s="24">
        <f>IF(AQ46="7",BI46,0)</f>
        <v>0</v>
      </c>
      <c r="AF46" s="24">
        <f>IF(AQ46="2",BH46,0)</f>
        <v>0</v>
      </c>
      <c r="AG46" s="24">
        <f>IF(AQ46="2",BI46,0)</f>
        <v>0</v>
      </c>
      <c r="AH46" s="24">
        <f>IF(AQ46="0",BJ46,0)</f>
        <v>0</v>
      </c>
      <c r="AI46" s="10" t="s">
        <v>51</v>
      </c>
      <c r="AJ46" s="24">
        <f>IF(AN46=0,J46,0)</f>
        <v>0</v>
      </c>
      <c r="AK46" s="24">
        <f>IF(AN46=12,J46,0)</f>
        <v>0</v>
      </c>
      <c r="AL46" s="24">
        <f>IF(AN46=21,J46,0)</f>
        <v>0</v>
      </c>
      <c r="AN46" s="24">
        <v>21</v>
      </c>
      <c r="AO46" s="24">
        <f>G46*0</f>
        <v>0</v>
      </c>
      <c r="AP46" s="24">
        <f>G46*(1-0)</f>
        <v>0</v>
      </c>
      <c r="AQ46" s="26" t="s">
        <v>54</v>
      </c>
      <c r="AV46" s="24">
        <f>AW46+AX46</f>
        <v>0</v>
      </c>
      <c r="AW46" s="24">
        <f>F46*AO46</f>
        <v>0</v>
      </c>
      <c r="AX46" s="24">
        <f>F46*AP46</f>
        <v>0</v>
      </c>
      <c r="AY46" s="26" t="s">
        <v>123</v>
      </c>
      <c r="AZ46" s="26" t="s">
        <v>73</v>
      </c>
      <c r="BA46" s="10" t="s">
        <v>59</v>
      </c>
      <c r="BC46" s="24">
        <f>AW46+AX46</f>
        <v>0</v>
      </c>
      <c r="BD46" s="24">
        <f>G46/(100-BE46)*100</f>
        <v>0</v>
      </c>
      <c r="BE46" s="24">
        <v>0</v>
      </c>
      <c r="BF46" s="24">
        <f>46</f>
        <v>46</v>
      </c>
      <c r="BH46" s="24">
        <f>F46*AO46</f>
        <v>0</v>
      </c>
      <c r="BI46" s="24">
        <f>F46*AP46</f>
        <v>0</v>
      </c>
      <c r="BJ46" s="24">
        <f>F46*G46</f>
        <v>0</v>
      </c>
      <c r="BK46" s="24"/>
      <c r="BL46" s="24">
        <v>15</v>
      </c>
      <c r="BW46" s="24">
        <v>21</v>
      </c>
      <c r="BX46" s="4" t="s">
        <v>125</v>
      </c>
    </row>
    <row r="47" spans="1:76">
      <c r="A47" s="27"/>
      <c r="C47" s="28" t="s">
        <v>61</v>
      </c>
      <c r="D47" s="28" t="s">
        <v>51</v>
      </c>
      <c r="F47" s="29">
        <v>2</v>
      </c>
      <c r="K47" s="30"/>
    </row>
    <row r="48" spans="1:76">
      <c r="A48" s="2" t="s">
        <v>126</v>
      </c>
      <c r="B48" s="3" t="s">
        <v>127</v>
      </c>
      <c r="C48" s="72" t="s">
        <v>128</v>
      </c>
      <c r="D48" s="67"/>
      <c r="E48" s="3" t="s">
        <v>129</v>
      </c>
      <c r="F48" s="24">
        <v>30</v>
      </c>
      <c r="G48" s="24">
        <v>0</v>
      </c>
      <c r="H48" s="24">
        <f>F48*AO48</f>
        <v>0</v>
      </c>
      <c r="I48" s="24">
        <f>F48*AP48</f>
        <v>0</v>
      </c>
      <c r="J48" s="24">
        <f>F48*G48</f>
        <v>0</v>
      </c>
      <c r="K48" s="25" t="s">
        <v>71</v>
      </c>
      <c r="Z48" s="24">
        <f>IF(AQ48="5",BJ48,0)</f>
        <v>0</v>
      </c>
      <c r="AB48" s="24">
        <f>IF(AQ48="1",BH48,0)</f>
        <v>0</v>
      </c>
      <c r="AC48" s="24">
        <f>IF(AQ48="1",BI48,0)</f>
        <v>0</v>
      </c>
      <c r="AD48" s="24">
        <f>IF(AQ48="7",BH48,0)</f>
        <v>0</v>
      </c>
      <c r="AE48" s="24">
        <f>IF(AQ48="7",BI48,0)</f>
        <v>0</v>
      </c>
      <c r="AF48" s="24">
        <f>IF(AQ48="2",BH48,0)</f>
        <v>0</v>
      </c>
      <c r="AG48" s="24">
        <f>IF(AQ48="2",BI48,0)</f>
        <v>0</v>
      </c>
      <c r="AH48" s="24">
        <f>IF(AQ48="0",BJ48,0)</f>
        <v>0</v>
      </c>
      <c r="AI48" s="10" t="s">
        <v>51</v>
      </c>
      <c r="AJ48" s="24">
        <f>IF(AN48=0,J48,0)</f>
        <v>0</v>
      </c>
      <c r="AK48" s="24">
        <f>IF(AN48=12,J48,0)</f>
        <v>0</v>
      </c>
      <c r="AL48" s="24">
        <f>IF(AN48=21,J48,0)</f>
        <v>0</v>
      </c>
      <c r="AN48" s="24">
        <v>21</v>
      </c>
      <c r="AO48" s="24">
        <f>G48*0</f>
        <v>0</v>
      </c>
      <c r="AP48" s="24">
        <f>G48*(1-0)</f>
        <v>0</v>
      </c>
      <c r="AQ48" s="26" t="s">
        <v>54</v>
      </c>
      <c r="AV48" s="24">
        <f>AW48+AX48</f>
        <v>0</v>
      </c>
      <c r="AW48" s="24">
        <f>F48*AO48</f>
        <v>0</v>
      </c>
      <c r="AX48" s="24">
        <f>F48*AP48</f>
        <v>0</v>
      </c>
      <c r="AY48" s="26" t="s">
        <v>123</v>
      </c>
      <c r="AZ48" s="26" t="s">
        <v>73</v>
      </c>
      <c r="BA48" s="10" t="s">
        <v>59</v>
      </c>
      <c r="BC48" s="24">
        <f>AW48+AX48</f>
        <v>0</v>
      </c>
      <c r="BD48" s="24">
        <f>G48/(100-BE48)*100</f>
        <v>0</v>
      </c>
      <c r="BE48" s="24">
        <v>0</v>
      </c>
      <c r="BF48" s="24">
        <f>48</f>
        <v>48</v>
      </c>
      <c r="BH48" s="24">
        <f>F48*AO48</f>
        <v>0</v>
      </c>
      <c r="BI48" s="24">
        <f>F48*AP48</f>
        <v>0</v>
      </c>
      <c r="BJ48" s="24">
        <f>F48*G48</f>
        <v>0</v>
      </c>
      <c r="BK48" s="24"/>
      <c r="BL48" s="24">
        <v>15</v>
      </c>
      <c r="BW48" s="24">
        <v>21</v>
      </c>
      <c r="BX48" s="4" t="s">
        <v>128</v>
      </c>
    </row>
    <row r="49" spans="1:76">
      <c r="A49" s="27"/>
      <c r="C49" s="28" t="s">
        <v>130</v>
      </c>
      <c r="D49" s="28" t="s">
        <v>51</v>
      </c>
      <c r="F49" s="29">
        <v>30</v>
      </c>
      <c r="K49" s="30"/>
    </row>
    <row r="50" spans="1:76">
      <c r="A50" s="2" t="s">
        <v>131</v>
      </c>
      <c r="B50" s="3" t="s">
        <v>132</v>
      </c>
      <c r="C50" s="72" t="s">
        <v>133</v>
      </c>
      <c r="D50" s="67"/>
      <c r="E50" s="3" t="s">
        <v>81</v>
      </c>
      <c r="F50" s="24">
        <v>396.54599999999999</v>
      </c>
      <c r="G50" s="24">
        <v>0</v>
      </c>
      <c r="H50" s="24">
        <f>F50*AO50</f>
        <v>0</v>
      </c>
      <c r="I50" s="24">
        <f>F50*AP50</f>
        <v>0</v>
      </c>
      <c r="J50" s="24">
        <f>F50*G50</f>
        <v>0</v>
      </c>
      <c r="K50" s="25" t="s">
        <v>71</v>
      </c>
      <c r="Z50" s="24">
        <f>IF(AQ50="5",BJ50,0)</f>
        <v>0</v>
      </c>
      <c r="AB50" s="24">
        <f>IF(AQ50="1",BH50,0)</f>
        <v>0</v>
      </c>
      <c r="AC50" s="24">
        <f>IF(AQ50="1",BI50,0)</f>
        <v>0</v>
      </c>
      <c r="AD50" s="24">
        <f>IF(AQ50="7",BH50,0)</f>
        <v>0</v>
      </c>
      <c r="AE50" s="24">
        <f>IF(AQ50="7",BI50,0)</f>
        <v>0</v>
      </c>
      <c r="AF50" s="24">
        <f>IF(AQ50="2",BH50,0)</f>
        <v>0</v>
      </c>
      <c r="AG50" s="24">
        <f>IF(AQ50="2",BI50,0)</f>
        <v>0</v>
      </c>
      <c r="AH50" s="24">
        <f>IF(AQ50="0",BJ50,0)</f>
        <v>0</v>
      </c>
      <c r="AI50" s="10" t="s">
        <v>51</v>
      </c>
      <c r="AJ50" s="24">
        <f>IF(AN50=0,J50,0)</f>
        <v>0</v>
      </c>
      <c r="AK50" s="24">
        <f>IF(AN50=12,J50,0)</f>
        <v>0</v>
      </c>
      <c r="AL50" s="24">
        <f>IF(AN50=21,J50,0)</f>
        <v>0</v>
      </c>
      <c r="AN50" s="24">
        <v>21</v>
      </c>
      <c r="AO50" s="24">
        <f>G50*0.091290323</f>
        <v>0</v>
      </c>
      <c r="AP50" s="24">
        <f>G50*(1-0.091290323)</f>
        <v>0</v>
      </c>
      <c r="AQ50" s="26" t="s">
        <v>54</v>
      </c>
      <c r="AV50" s="24">
        <f>AW50+AX50</f>
        <v>0</v>
      </c>
      <c r="AW50" s="24">
        <f>F50*AO50</f>
        <v>0</v>
      </c>
      <c r="AX50" s="24">
        <f>F50*AP50</f>
        <v>0</v>
      </c>
      <c r="AY50" s="26" t="s">
        <v>123</v>
      </c>
      <c r="AZ50" s="26" t="s">
        <v>73</v>
      </c>
      <c r="BA50" s="10" t="s">
        <v>59</v>
      </c>
      <c r="BC50" s="24">
        <f>AW50+AX50</f>
        <v>0</v>
      </c>
      <c r="BD50" s="24">
        <f>G50/(100-BE50)*100</f>
        <v>0</v>
      </c>
      <c r="BE50" s="24">
        <v>0</v>
      </c>
      <c r="BF50" s="24">
        <f>50</f>
        <v>50</v>
      </c>
      <c r="BH50" s="24">
        <f>F50*AO50</f>
        <v>0</v>
      </c>
      <c r="BI50" s="24">
        <f>F50*AP50</f>
        <v>0</v>
      </c>
      <c r="BJ50" s="24">
        <f>F50*G50</f>
        <v>0</v>
      </c>
      <c r="BK50" s="24"/>
      <c r="BL50" s="24">
        <v>15</v>
      </c>
      <c r="BW50" s="24">
        <v>21</v>
      </c>
      <c r="BX50" s="4" t="s">
        <v>133</v>
      </c>
    </row>
    <row r="51" spans="1:76">
      <c r="A51" s="27"/>
      <c r="C51" s="28" t="s">
        <v>134</v>
      </c>
      <c r="D51" s="28" t="s">
        <v>51</v>
      </c>
      <c r="F51" s="29">
        <v>396.54599999999999</v>
      </c>
      <c r="K51" s="30"/>
    </row>
    <row r="52" spans="1:76">
      <c r="A52" s="2" t="s">
        <v>135</v>
      </c>
      <c r="B52" s="3" t="s">
        <v>136</v>
      </c>
      <c r="C52" s="72" t="s">
        <v>137</v>
      </c>
      <c r="D52" s="67"/>
      <c r="E52" s="3" t="s">
        <v>81</v>
      </c>
      <c r="F52" s="24">
        <v>396.54599999999999</v>
      </c>
      <c r="G52" s="24">
        <v>0</v>
      </c>
      <c r="H52" s="24">
        <f>F52*AO52</f>
        <v>0</v>
      </c>
      <c r="I52" s="24">
        <f>F52*AP52</f>
        <v>0</v>
      </c>
      <c r="J52" s="24">
        <f>F52*G52</f>
        <v>0</v>
      </c>
      <c r="K52" s="25" t="s">
        <v>71</v>
      </c>
      <c r="Z52" s="24">
        <f>IF(AQ52="5",BJ52,0)</f>
        <v>0</v>
      </c>
      <c r="AB52" s="24">
        <f>IF(AQ52="1",BH52,0)</f>
        <v>0</v>
      </c>
      <c r="AC52" s="24">
        <f>IF(AQ52="1",BI52,0)</f>
        <v>0</v>
      </c>
      <c r="AD52" s="24">
        <f>IF(AQ52="7",BH52,0)</f>
        <v>0</v>
      </c>
      <c r="AE52" s="24">
        <f>IF(AQ52="7",BI52,0)</f>
        <v>0</v>
      </c>
      <c r="AF52" s="24">
        <f>IF(AQ52="2",BH52,0)</f>
        <v>0</v>
      </c>
      <c r="AG52" s="24">
        <f>IF(AQ52="2",BI52,0)</f>
        <v>0</v>
      </c>
      <c r="AH52" s="24">
        <f>IF(AQ52="0",BJ52,0)</f>
        <v>0</v>
      </c>
      <c r="AI52" s="10" t="s">
        <v>51</v>
      </c>
      <c r="AJ52" s="24">
        <f>IF(AN52=0,J52,0)</f>
        <v>0</v>
      </c>
      <c r="AK52" s="24">
        <f>IF(AN52=12,J52,0)</f>
        <v>0</v>
      </c>
      <c r="AL52" s="24">
        <f>IF(AN52=21,J52,0)</f>
        <v>0</v>
      </c>
      <c r="AN52" s="24">
        <v>21</v>
      </c>
      <c r="AO52" s="24">
        <f>G52*0</f>
        <v>0</v>
      </c>
      <c r="AP52" s="24">
        <f>G52*(1-0)</f>
        <v>0</v>
      </c>
      <c r="AQ52" s="26" t="s">
        <v>54</v>
      </c>
      <c r="AV52" s="24">
        <f>AW52+AX52</f>
        <v>0</v>
      </c>
      <c r="AW52" s="24">
        <f>F52*AO52</f>
        <v>0</v>
      </c>
      <c r="AX52" s="24">
        <f>F52*AP52</f>
        <v>0</v>
      </c>
      <c r="AY52" s="26" t="s">
        <v>123</v>
      </c>
      <c r="AZ52" s="26" t="s">
        <v>73</v>
      </c>
      <c r="BA52" s="10" t="s">
        <v>59</v>
      </c>
      <c r="BC52" s="24">
        <f>AW52+AX52</f>
        <v>0</v>
      </c>
      <c r="BD52" s="24">
        <f>G52/(100-BE52)*100</f>
        <v>0</v>
      </c>
      <c r="BE52" s="24">
        <v>0</v>
      </c>
      <c r="BF52" s="24">
        <f>52</f>
        <v>52</v>
      </c>
      <c r="BH52" s="24">
        <f>F52*AO52</f>
        <v>0</v>
      </c>
      <c r="BI52" s="24">
        <f>F52*AP52</f>
        <v>0</v>
      </c>
      <c r="BJ52" s="24">
        <f>F52*G52</f>
        <v>0</v>
      </c>
      <c r="BK52" s="24"/>
      <c r="BL52" s="24">
        <v>15</v>
      </c>
      <c r="BW52" s="24">
        <v>21</v>
      </c>
      <c r="BX52" s="4" t="s">
        <v>137</v>
      </c>
    </row>
    <row r="53" spans="1:76">
      <c r="A53" s="27"/>
      <c r="C53" s="28" t="s">
        <v>138</v>
      </c>
      <c r="D53" s="28" t="s">
        <v>51</v>
      </c>
      <c r="F53" s="29">
        <v>396.54599999999999</v>
      </c>
      <c r="K53" s="30"/>
    </row>
    <row r="54" spans="1:76">
      <c r="A54" s="2" t="s">
        <v>139</v>
      </c>
      <c r="B54" s="3" t="s">
        <v>140</v>
      </c>
      <c r="C54" s="72" t="s">
        <v>141</v>
      </c>
      <c r="D54" s="67"/>
      <c r="E54" s="3" t="s">
        <v>81</v>
      </c>
      <c r="F54" s="24">
        <v>5.8</v>
      </c>
      <c r="G54" s="24">
        <v>0</v>
      </c>
      <c r="H54" s="24">
        <f>F54*AO54</f>
        <v>0</v>
      </c>
      <c r="I54" s="24">
        <f>F54*AP54</f>
        <v>0</v>
      </c>
      <c r="J54" s="24">
        <f>F54*G54</f>
        <v>0</v>
      </c>
      <c r="K54" s="25" t="s">
        <v>71</v>
      </c>
      <c r="Z54" s="24">
        <f>IF(AQ54="5",BJ54,0)</f>
        <v>0</v>
      </c>
      <c r="AB54" s="24">
        <f>IF(AQ54="1",BH54,0)</f>
        <v>0</v>
      </c>
      <c r="AC54" s="24">
        <f>IF(AQ54="1",BI54,0)</f>
        <v>0</v>
      </c>
      <c r="AD54" s="24">
        <f>IF(AQ54="7",BH54,0)</f>
        <v>0</v>
      </c>
      <c r="AE54" s="24">
        <f>IF(AQ54="7",BI54,0)</f>
        <v>0</v>
      </c>
      <c r="AF54" s="24">
        <f>IF(AQ54="2",BH54,0)</f>
        <v>0</v>
      </c>
      <c r="AG54" s="24">
        <f>IF(AQ54="2",BI54,0)</f>
        <v>0</v>
      </c>
      <c r="AH54" s="24">
        <f>IF(AQ54="0",BJ54,0)</f>
        <v>0</v>
      </c>
      <c r="AI54" s="10" t="s">
        <v>51</v>
      </c>
      <c r="AJ54" s="24">
        <f>IF(AN54=0,J54,0)</f>
        <v>0</v>
      </c>
      <c r="AK54" s="24">
        <f>IF(AN54=12,J54,0)</f>
        <v>0</v>
      </c>
      <c r="AL54" s="24">
        <f>IF(AN54=21,J54,0)</f>
        <v>0</v>
      </c>
      <c r="AN54" s="24">
        <v>21</v>
      </c>
      <c r="AO54" s="24">
        <f>G54*0.088676717</f>
        <v>0</v>
      </c>
      <c r="AP54" s="24">
        <f>G54*(1-0.088676717)</f>
        <v>0</v>
      </c>
      <c r="AQ54" s="26" t="s">
        <v>54</v>
      </c>
      <c r="AV54" s="24">
        <f>AW54+AX54</f>
        <v>0</v>
      </c>
      <c r="AW54" s="24">
        <f>F54*AO54</f>
        <v>0</v>
      </c>
      <c r="AX54" s="24">
        <f>F54*AP54</f>
        <v>0</v>
      </c>
      <c r="AY54" s="26" t="s">
        <v>123</v>
      </c>
      <c r="AZ54" s="26" t="s">
        <v>73</v>
      </c>
      <c r="BA54" s="10" t="s">
        <v>59</v>
      </c>
      <c r="BC54" s="24">
        <f>AW54+AX54</f>
        <v>0</v>
      </c>
      <c r="BD54" s="24">
        <f>G54/(100-BE54)*100</f>
        <v>0</v>
      </c>
      <c r="BE54" s="24">
        <v>0</v>
      </c>
      <c r="BF54" s="24">
        <f>54</f>
        <v>54</v>
      </c>
      <c r="BH54" s="24">
        <f>F54*AO54</f>
        <v>0</v>
      </c>
      <c r="BI54" s="24">
        <f>F54*AP54</f>
        <v>0</v>
      </c>
      <c r="BJ54" s="24">
        <f>F54*G54</f>
        <v>0</v>
      </c>
      <c r="BK54" s="24"/>
      <c r="BL54" s="24">
        <v>15</v>
      </c>
      <c r="BW54" s="24">
        <v>21</v>
      </c>
      <c r="BX54" s="4" t="s">
        <v>141</v>
      </c>
    </row>
    <row r="55" spans="1:76">
      <c r="A55" s="27"/>
      <c r="C55" s="28" t="s">
        <v>142</v>
      </c>
      <c r="D55" s="28" t="s">
        <v>51</v>
      </c>
      <c r="F55" s="29">
        <v>5.8</v>
      </c>
      <c r="K55" s="30"/>
    </row>
    <row r="56" spans="1:76">
      <c r="A56" s="2" t="s">
        <v>143</v>
      </c>
      <c r="B56" s="3" t="s">
        <v>144</v>
      </c>
      <c r="C56" s="72" t="s">
        <v>145</v>
      </c>
      <c r="D56" s="67"/>
      <c r="E56" s="3" t="s">
        <v>81</v>
      </c>
      <c r="F56" s="24">
        <v>5.8</v>
      </c>
      <c r="G56" s="24">
        <v>0</v>
      </c>
      <c r="H56" s="24">
        <f>F56*AO56</f>
        <v>0</v>
      </c>
      <c r="I56" s="24">
        <f>F56*AP56</f>
        <v>0</v>
      </c>
      <c r="J56" s="24">
        <f>F56*G56</f>
        <v>0</v>
      </c>
      <c r="K56" s="25" t="s">
        <v>71</v>
      </c>
      <c r="Z56" s="24">
        <f>IF(AQ56="5",BJ56,0)</f>
        <v>0</v>
      </c>
      <c r="AB56" s="24">
        <f>IF(AQ56="1",BH56,0)</f>
        <v>0</v>
      </c>
      <c r="AC56" s="24">
        <f>IF(AQ56="1",BI56,0)</f>
        <v>0</v>
      </c>
      <c r="AD56" s="24">
        <f>IF(AQ56="7",BH56,0)</f>
        <v>0</v>
      </c>
      <c r="AE56" s="24">
        <f>IF(AQ56="7",BI56,0)</f>
        <v>0</v>
      </c>
      <c r="AF56" s="24">
        <f>IF(AQ56="2",BH56,0)</f>
        <v>0</v>
      </c>
      <c r="AG56" s="24">
        <f>IF(AQ56="2",BI56,0)</f>
        <v>0</v>
      </c>
      <c r="AH56" s="24">
        <f>IF(AQ56="0",BJ56,0)</f>
        <v>0</v>
      </c>
      <c r="AI56" s="10" t="s">
        <v>51</v>
      </c>
      <c r="AJ56" s="24">
        <f>IF(AN56=0,J56,0)</f>
        <v>0</v>
      </c>
      <c r="AK56" s="24">
        <f>IF(AN56=12,J56,0)</f>
        <v>0</v>
      </c>
      <c r="AL56" s="24">
        <f>IF(AN56=21,J56,0)</f>
        <v>0</v>
      </c>
      <c r="AN56" s="24">
        <v>21</v>
      </c>
      <c r="AO56" s="24">
        <f>G56*0</f>
        <v>0</v>
      </c>
      <c r="AP56" s="24">
        <f>G56*(1-0)</f>
        <v>0</v>
      </c>
      <c r="AQ56" s="26" t="s">
        <v>54</v>
      </c>
      <c r="AV56" s="24">
        <f>AW56+AX56</f>
        <v>0</v>
      </c>
      <c r="AW56" s="24">
        <f>F56*AO56</f>
        <v>0</v>
      </c>
      <c r="AX56" s="24">
        <f>F56*AP56</f>
        <v>0</v>
      </c>
      <c r="AY56" s="26" t="s">
        <v>123</v>
      </c>
      <c r="AZ56" s="26" t="s">
        <v>73</v>
      </c>
      <c r="BA56" s="10" t="s">
        <v>59</v>
      </c>
      <c r="BC56" s="24">
        <f>AW56+AX56</f>
        <v>0</v>
      </c>
      <c r="BD56" s="24">
        <f>G56/(100-BE56)*100</f>
        <v>0</v>
      </c>
      <c r="BE56" s="24">
        <v>0</v>
      </c>
      <c r="BF56" s="24">
        <f>56</f>
        <v>56</v>
      </c>
      <c r="BH56" s="24">
        <f>F56*AO56</f>
        <v>0</v>
      </c>
      <c r="BI56" s="24">
        <f>F56*AP56</f>
        <v>0</v>
      </c>
      <c r="BJ56" s="24">
        <f>F56*G56</f>
        <v>0</v>
      </c>
      <c r="BK56" s="24"/>
      <c r="BL56" s="24">
        <v>15</v>
      </c>
      <c r="BW56" s="24">
        <v>21</v>
      </c>
      <c r="BX56" s="4" t="s">
        <v>145</v>
      </c>
    </row>
    <row r="57" spans="1:76">
      <c r="A57" s="27"/>
      <c r="C57" s="28" t="s">
        <v>146</v>
      </c>
      <c r="D57" s="28" t="s">
        <v>51</v>
      </c>
      <c r="F57" s="29">
        <v>5.8</v>
      </c>
      <c r="K57" s="30"/>
    </row>
    <row r="58" spans="1:76">
      <c r="A58" s="31" t="s">
        <v>51</v>
      </c>
      <c r="B58" s="32" t="s">
        <v>126</v>
      </c>
      <c r="C58" s="88" t="s">
        <v>147</v>
      </c>
      <c r="D58" s="89"/>
      <c r="E58" s="33" t="s">
        <v>4</v>
      </c>
      <c r="F58" s="33" t="s">
        <v>4</v>
      </c>
      <c r="G58" s="33" t="s">
        <v>4</v>
      </c>
      <c r="H58" s="1">
        <f>SUM(H59:H81)</f>
        <v>0</v>
      </c>
      <c r="I58" s="1">
        <f>SUM(I59:I81)</f>
        <v>0</v>
      </c>
      <c r="J58" s="1">
        <f>SUM(J59:J81)</f>
        <v>0</v>
      </c>
      <c r="K58" s="34" t="s">
        <v>51</v>
      </c>
      <c r="AI58" s="10" t="s">
        <v>51</v>
      </c>
      <c r="AS58" s="1">
        <f>SUM(AJ59:AJ81)</f>
        <v>0</v>
      </c>
      <c r="AT58" s="1">
        <f>SUM(AK59:AK81)</f>
        <v>0</v>
      </c>
      <c r="AU58" s="1">
        <f>SUM(AL59:AL81)</f>
        <v>0</v>
      </c>
    </row>
    <row r="59" spans="1:76">
      <c r="A59" s="2" t="s">
        <v>148</v>
      </c>
      <c r="B59" s="3" t="s">
        <v>149</v>
      </c>
      <c r="C59" s="72" t="s">
        <v>150</v>
      </c>
      <c r="D59" s="67"/>
      <c r="E59" s="3" t="s">
        <v>91</v>
      </c>
      <c r="F59" s="24">
        <v>78.143540000000002</v>
      </c>
      <c r="G59" s="24">
        <v>0</v>
      </c>
      <c r="H59" s="24">
        <f>F59*AO59</f>
        <v>0</v>
      </c>
      <c r="I59" s="24">
        <f>F59*AP59</f>
        <v>0</v>
      </c>
      <c r="J59" s="24">
        <f>F59*G59</f>
        <v>0</v>
      </c>
      <c r="K59" s="25" t="s">
        <v>71</v>
      </c>
      <c r="Z59" s="24">
        <f>IF(AQ59="5",BJ59,0)</f>
        <v>0</v>
      </c>
      <c r="AB59" s="24">
        <f>IF(AQ59="1",BH59,0)</f>
        <v>0</v>
      </c>
      <c r="AC59" s="24">
        <f>IF(AQ59="1",BI59,0)</f>
        <v>0</v>
      </c>
      <c r="AD59" s="24">
        <f>IF(AQ59="7",BH59,0)</f>
        <v>0</v>
      </c>
      <c r="AE59" s="24">
        <f>IF(AQ59="7",BI59,0)</f>
        <v>0</v>
      </c>
      <c r="AF59" s="24">
        <f>IF(AQ59="2",BH59,0)</f>
        <v>0</v>
      </c>
      <c r="AG59" s="24">
        <f>IF(AQ59="2",BI59,0)</f>
        <v>0</v>
      </c>
      <c r="AH59" s="24">
        <f>IF(AQ59="0",BJ59,0)</f>
        <v>0</v>
      </c>
      <c r="AI59" s="10" t="s">
        <v>51</v>
      </c>
      <c r="AJ59" s="24">
        <f>IF(AN59=0,J59,0)</f>
        <v>0</v>
      </c>
      <c r="AK59" s="24">
        <f>IF(AN59=12,J59,0)</f>
        <v>0</v>
      </c>
      <c r="AL59" s="24">
        <f>IF(AN59=21,J59,0)</f>
        <v>0</v>
      </c>
      <c r="AN59" s="24">
        <v>21</v>
      </c>
      <c r="AO59" s="24">
        <f>G59*0</f>
        <v>0</v>
      </c>
      <c r="AP59" s="24">
        <f>G59*(1-0)</f>
        <v>0</v>
      </c>
      <c r="AQ59" s="26" t="s">
        <v>54</v>
      </c>
      <c r="AV59" s="24">
        <f>AW59+AX59</f>
        <v>0</v>
      </c>
      <c r="AW59" s="24">
        <f>F59*AO59</f>
        <v>0</v>
      </c>
      <c r="AX59" s="24">
        <f>F59*AP59</f>
        <v>0</v>
      </c>
      <c r="AY59" s="26" t="s">
        <v>151</v>
      </c>
      <c r="AZ59" s="26" t="s">
        <v>73</v>
      </c>
      <c r="BA59" s="10" t="s">
        <v>59</v>
      </c>
      <c r="BC59" s="24">
        <f>AW59+AX59</f>
        <v>0</v>
      </c>
      <c r="BD59" s="24">
        <f>G59/(100-BE59)*100</f>
        <v>0</v>
      </c>
      <c r="BE59" s="24">
        <v>0</v>
      </c>
      <c r="BF59" s="24">
        <f>59</f>
        <v>59</v>
      </c>
      <c r="BH59" s="24">
        <f>F59*AO59</f>
        <v>0</v>
      </c>
      <c r="BI59" s="24">
        <f>F59*AP59</f>
        <v>0</v>
      </c>
      <c r="BJ59" s="24">
        <f>F59*G59</f>
        <v>0</v>
      </c>
      <c r="BK59" s="24"/>
      <c r="BL59" s="24">
        <v>16</v>
      </c>
      <c r="BW59" s="24">
        <v>21</v>
      </c>
      <c r="BX59" s="4" t="s">
        <v>150</v>
      </c>
    </row>
    <row r="60" spans="1:76">
      <c r="A60" s="27"/>
      <c r="C60" s="28" t="s">
        <v>152</v>
      </c>
      <c r="D60" s="28" t="s">
        <v>51</v>
      </c>
      <c r="F60" s="29">
        <v>76.257499999999993</v>
      </c>
      <c r="K60" s="30"/>
    </row>
    <row r="61" spans="1:76">
      <c r="A61" s="27"/>
      <c r="C61" s="28" t="s">
        <v>153</v>
      </c>
      <c r="D61" s="28" t="s">
        <v>51</v>
      </c>
      <c r="F61" s="29">
        <v>1.8860399999999999</v>
      </c>
      <c r="K61" s="30"/>
    </row>
    <row r="62" spans="1:76">
      <c r="A62" s="2" t="s">
        <v>154</v>
      </c>
      <c r="B62" s="3" t="s">
        <v>155</v>
      </c>
      <c r="C62" s="72" t="s">
        <v>156</v>
      </c>
      <c r="D62" s="67"/>
      <c r="E62" s="3" t="s">
        <v>91</v>
      </c>
      <c r="F62" s="24">
        <v>223.48500000000001</v>
      </c>
      <c r="G62" s="24">
        <v>0</v>
      </c>
      <c r="H62" s="24">
        <f>F62*AO62</f>
        <v>0</v>
      </c>
      <c r="I62" s="24">
        <f>F62*AP62</f>
        <v>0</v>
      </c>
      <c r="J62" s="24">
        <f>F62*G62</f>
        <v>0</v>
      </c>
      <c r="K62" s="25" t="s">
        <v>71</v>
      </c>
      <c r="Z62" s="24">
        <f>IF(AQ62="5",BJ62,0)</f>
        <v>0</v>
      </c>
      <c r="AB62" s="24">
        <f>IF(AQ62="1",BH62,0)</f>
        <v>0</v>
      </c>
      <c r="AC62" s="24">
        <f>IF(AQ62="1",BI62,0)</f>
        <v>0</v>
      </c>
      <c r="AD62" s="24">
        <f>IF(AQ62="7",BH62,0)</f>
        <v>0</v>
      </c>
      <c r="AE62" s="24">
        <f>IF(AQ62="7",BI62,0)</f>
        <v>0</v>
      </c>
      <c r="AF62" s="24">
        <f>IF(AQ62="2",BH62,0)</f>
        <v>0</v>
      </c>
      <c r="AG62" s="24">
        <f>IF(AQ62="2",BI62,0)</f>
        <v>0</v>
      </c>
      <c r="AH62" s="24">
        <f>IF(AQ62="0",BJ62,0)</f>
        <v>0</v>
      </c>
      <c r="AI62" s="10" t="s">
        <v>51</v>
      </c>
      <c r="AJ62" s="24">
        <f>IF(AN62=0,J62,0)</f>
        <v>0</v>
      </c>
      <c r="AK62" s="24">
        <f>IF(AN62=12,J62,0)</f>
        <v>0</v>
      </c>
      <c r="AL62" s="24">
        <f>IF(AN62=21,J62,0)</f>
        <v>0</v>
      </c>
      <c r="AN62" s="24">
        <v>21</v>
      </c>
      <c r="AO62" s="24">
        <f>G62*0</f>
        <v>0</v>
      </c>
      <c r="AP62" s="24">
        <f>G62*(1-0)</f>
        <v>0</v>
      </c>
      <c r="AQ62" s="26" t="s">
        <v>54</v>
      </c>
      <c r="AV62" s="24">
        <f>AW62+AX62</f>
        <v>0</v>
      </c>
      <c r="AW62" s="24">
        <f>F62*AO62</f>
        <v>0</v>
      </c>
      <c r="AX62" s="24">
        <f>F62*AP62</f>
        <v>0</v>
      </c>
      <c r="AY62" s="26" t="s">
        <v>151</v>
      </c>
      <c r="AZ62" s="26" t="s">
        <v>73</v>
      </c>
      <c r="BA62" s="10" t="s">
        <v>59</v>
      </c>
      <c r="BC62" s="24">
        <f>AW62+AX62</f>
        <v>0</v>
      </c>
      <c r="BD62" s="24">
        <f>G62/(100-BE62)*100</f>
        <v>0</v>
      </c>
      <c r="BE62" s="24">
        <v>0</v>
      </c>
      <c r="BF62" s="24">
        <f>62</f>
        <v>62</v>
      </c>
      <c r="BH62" s="24">
        <f>F62*AO62</f>
        <v>0</v>
      </c>
      <c r="BI62" s="24">
        <f>F62*AP62</f>
        <v>0</v>
      </c>
      <c r="BJ62" s="24">
        <f>F62*G62</f>
        <v>0</v>
      </c>
      <c r="BK62" s="24"/>
      <c r="BL62" s="24">
        <v>16</v>
      </c>
      <c r="BW62" s="24">
        <v>21</v>
      </c>
      <c r="BX62" s="4" t="s">
        <v>156</v>
      </c>
    </row>
    <row r="63" spans="1:76">
      <c r="A63" s="27"/>
      <c r="C63" s="28" t="s">
        <v>157</v>
      </c>
      <c r="D63" s="28" t="s">
        <v>51</v>
      </c>
      <c r="F63" s="29">
        <v>211.07400000000001</v>
      </c>
      <c r="K63" s="30"/>
    </row>
    <row r="64" spans="1:76">
      <c r="A64" s="27"/>
      <c r="C64" s="28" t="s">
        <v>158</v>
      </c>
      <c r="D64" s="28" t="s">
        <v>51</v>
      </c>
      <c r="F64" s="29">
        <v>12.411</v>
      </c>
      <c r="K64" s="30"/>
    </row>
    <row r="65" spans="1:76">
      <c r="A65" s="2" t="s">
        <v>159</v>
      </c>
      <c r="B65" s="3" t="s">
        <v>160</v>
      </c>
      <c r="C65" s="72" t="s">
        <v>161</v>
      </c>
      <c r="D65" s="67"/>
      <c r="E65" s="3" t="s">
        <v>91</v>
      </c>
      <c r="F65" s="24">
        <v>194.74527</v>
      </c>
      <c r="G65" s="24">
        <v>0</v>
      </c>
      <c r="H65" s="24">
        <f>F65*AO65</f>
        <v>0</v>
      </c>
      <c r="I65" s="24">
        <f>F65*AP65</f>
        <v>0</v>
      </c>
      <c r="J65" s="24">
        <f>F65*G65</f>
        <v>0</v>
      </c>
      <c r="K65" s="25" t="s">
        <v>71</v>
      </c>
      <c r="Z65" s="24">
        <f>IF(AQ65="5",BJ65,0)</f>
        <v>0</v>
      </c>
      <c r="AB65" s="24">
        <f>IF(AQ65="1",BH65,0)</f>
        <v>0</v>
      </c>
      <c r="AC65" s="24">
        <f>IF(AQ65="1",BI65,0)</f>
        <v>0</v>
      </c>
      <c r="AD65" s="24">
        <f>IF(AQ65="7",BH65,0)</f>
        <v>0</v>
      </c>
      <c r="AE65" s="24">
        <f>IF(AQ65="7",BI65,0)</f>
        <v>0</v>
      </c>
      <c r="AF65" s="24">
        <f>IF(AQ65="2",BH65,0)</f>
        <v>0</v>
      </c>
      <c r="AG65" s="24">
        <f>IF(AQ65="2",BI65,0)</f>
        <v>0</v>
      </c>
      <c r="AH65" s="24">
        <f>IF(AQ65="0",BJ65,0)</f>
        <v>0</v>
      </c>
      <c r="AI65" s="10" t="s">
        <v>51</v>
      </c>
      <c r="AJ65" s="24">
        <f>IF(AN65=0,J65,0)</f>
        <v>0</v>
      </c>
      <c r="AK65" s="24">
        <f>IF(AN65=12,J65,0)</f>
        <v>0</v>
      </c>
      <c r="AL65" s="24">
        <f>IF(AN65=21,J65,0)</f>
        <v>0</v>
      </c>
      <c r="AN65" s="24">
        <v>21</v>
      </c>
      <c r="AO65" s="24">
        <f>G65*0</f>
        <v>0</v>
      </c>
      <c r="AP65" s="24">
        <f>G65*(1-0)</f>
        <v>0</v>
      </c>
      <c r="AQ65" s="26" t="s">
        <v>54</v>
      </c>
      <c r="AV65" s="24">
        <f>AW65+AX65</f>
        <v>0</v>
      </c>
      <c r="AW65" s="24">
        <f>F65*AO65</f>
        <v>0</v>
      </c>
      <c r="AX65" s="24">
        <f>F65*AP65</f>
        <v>0</v>
      </c>
      <c r="AY65" s="26" t="s">
        <v>151</v>
      </c>
      <c r="AZ65" s="26" t="s">
        <v>73</v>
      </c>
      <c r="BA65" s="10" t="s">
        <v>59</v>
      </c>
      <c r="BC65" s="24">
        <f>AW65+AX65</f>
        <v>0</v>
      </c>
      <c r="BD65" s="24">
        <f>G65/(100-BE65)*100</f>
        <v>0</v>
      </c>
      <c r="BE65" s="24">
        <v>0</v>
      </c>
      <c r="BF65" s="24">
        <f>65</f>
        <v>65</v>
      </c>
      <c r="BH65" s="24">
        <f>F65*AO65</f>
        <v>0</v>
      </c>
      <c r="BI65" s="24">
        <f>F65*AP65</f>
        <v>0</v>
      </c>
      <c r="BJ65" s="24">
        <f>F65*G65</f>
        <v>0</v>
      </c>
      <c r="BK65" s="24"/>
      <c r="BL65" s="24">
        <v>16</v>
      </c>
      <c r="BW65" s="24">
        <v>21</v>
      </c>
      <c r="BX65" s="4" t="s">
        <v>161</v>
      </c>
    </row>
    <row r="66" spans="1:76">
      <c r="A66" s="27"/>
      <c r="C66" s="28" t="s">
        <v>162</v>
      </c>
      <c r="D66" s="28" t="s">
        <v>51</v>
      </c>
      <c r="F66" s="29">
        <v>50.499540000000003</v>
      </c>
      <c r="K66" s="30"/>
    </row>
    <row r="67" spans="1:76">
      <c r="A67" s="27"/>
      <c r="C67" s="28" t="s">
        <v>163</v>
      </c>
      <c r="D67" s="28" t="s">
        <v>51</v>
      </c>
      <c r="F67" s="29">
        <v>144.24573000000001</v>
      </c>
      <c r="K67" s="30"/>
    </row>
    <row r="68" spans="1:76">
      <c r="A68" s="2" t="s">
        <v>164</v>
      </c>
      <c r="B68" s="3" t="s">
        <v>165</v>
      </c>
      <c r="C68" s="72" t="s">
        <v>166</v>
      </c>
      <c r="D68" s="67"/>
      <c r="E68" s="3" t="s">
        <v>91</v>
      </c>
      <c r="F68" s="24">
        <v>194.74527</v>
      </c>
      <c r="G68" s="24">
        <v>0</v>
      </c>
      <c r="H68" s="24">
        <f>F68*AO68</f>
        <v>0</v>
      </c>
      <c r="I68" s="24">
        <f>F68*AP68</f>
        <v>0</v>
      </c>
      <c r="J68" s="24">
        <f>F68*G68</f>
        <v>0</v>
      </c>
      <c r="K68" s="25" t="s">
        <v>71</v>
      </c>
      <c r="Z68" s="24">
        <f>IF(AQ68="5",BJ68,0)</f>
        <v>0</v>
      </c>
      <c r="AB68" s="24">
        <f>IF(AQ68="1",BH68,0)</f>
        <v>0</v>
      </c>
      <c r="AC68" s="24">
        <f>IF(AQ68="1",BI68,0)</f>
        <v>0</v>
      </c>
      <c r="AD68" s="24">
        <f>IF(AQ68="7",BH68,0)</f>
        <v>0</v>
      </c>
      <c r="AE68" s="24">
        <f>IF(AQ68="7",BI68,0)</f>
        <v>0</v>
      </c>
      <c r="AF68" s="24">
        <f>IF(AQ68="2",BH68,0)</f>
        <v>0</v>
      </c>
      <c r="AG68" s="24">
        <f>IF(AQ68="2",BI68,0)</f>
        <v>0</v>
      </c>
      <c r="AH68" s="24">
        <f>IF(AQ68="0",BJ68,0)</f>
        <v>0</v>
      </c>
      <c r="AI68" s="10" t="s">
        <v>51</v>
      </c>
      <c r="AJ68" s="24">
        <f>IF(AN68=0,J68,0)</f>
        <v>0</v>
      </c>
      <c r="AK68" s="24">
        <f>IF(AN68=12,J68,0)</f>
        <v>0</v>
      </c>
      <c r="AL68" s="24">
        <f>IF(AN68=21,J68,0)</f>
        <v>0</v>
      </c>
      <c r="AN68" s="24">
        <v>21</v>
      </c>
      <c r="AO68" s="24">
        <f>G68*0</f>
        <v>0</v>
      </c>
      <c r="AP68" s="24">
        <f>G68*(1-0)</f>
        <v>0</v>
      </c>
      <c r="AQ68" s="26" t="s">
        <v>54</v>
      </c>
      <c r="AV68" s="24">
        <f>AW68+AX68</f>
        <v>0</v>
      </c>
      <c r="AW68" s="24">
        <f>F68*AO68</f>
        <v>0</v>
      </c>
      <c r="AX68" s="24">
        <f>F68*AP68</f>
        <v>0</v>
      </c>
      <c r="AY68" s="26" t="s">
        <v>151</v>
      </c>
      <c r="AZ68" s="26" t="s">
        <v>73</v>
      </c>
      <c r="BA68" s="10" t="s">
        <v>59</v>
      </c>
      <c r="BC68" s="24">
        <f>AW68+AX68</f>
        <v>0</v>
      </c>
      <c r="BD68" s="24">
        <f>G68/(100-BE68)*100</f>
        <v>0</v>
      </c>
      <c r="BE68" s="24">
        <v>0</v>
      </c>
      <c r="BF68" s="24">
        <f>68</f>
        <v>68</v>
      </c>
      <c r="BH68" s="24">
        <f>F68*AO68</f>
        <v>0</v>
      </c>
      <c r="BI68" s="24">
        <f>F68*AP68</f>
        <v>0</v>
      </c>
      <c r="BJ68" s="24">
        <f>F68*G68</f>
        <v>0</v>
      </c>
      <c r="BK68" s="24"/>
      <c r="BL68" s="24">
        <v>16</v>
      </c>
      <c r="BW68" s="24">
        <v>21</v>
      </c>
      <c r="BX68" s="4" t="s">
        <v>166</v>
      </c>
    </row>
    <row r="69" spans="1:76">
      <c r="A69" s="27"/>
      <c r="C69" s="28" t="s">
        <v>167</v>
      </c>
      <c r="D69" s="28" t="s">
        <v>51</v>
      </c>
      <c r="F69" s="29">
        <v>194.74527</v>
      </c>
      <c r="K69" s="30"/>
    </row>
    <row r="70" spans="1:76">
      <c r="A70" s="2" t="s">
        <v>168</v>
      </c>
      <c r="B70" s="3" t="s">
        <v>160</v>
      </c>
      <c r="C70" s="72" t="s">
        <v>169</v>
      </c>
      <c r="D70" s="67"/>
      <c r="E70" s="3" t="s">
        <v>91</v>
      </c>
      <c r="F70" s="24">
        <v>194.74527</v>
      </c>
      <c r="G70" s="24">
        <v>0</v>
      </c>
      <c r="H70" s="24">
        <f>F70*AO70</f>
        <v>0</v>
      </c>
      <c r="I70" s="24">
        <f>F70*AP70</f>
        <v>0</v>
      </c>
      <c r="J70" s="24">
        <f>F70*G70</f>
        <v>0</v>
      </c>
      <c r="K70" s="25" t="s">
        <v>71</v>
      </c>
      <c r="Z70" s="24">
        <f>IF(AQ70="5",BJ70,0)</f>
        <v>0</v>
      </c>
      <c r="AB70" s="24">
        <f>IF(AQ70="1",BH70,0)</f>
        <v>0</v>
      </c>
      <c r="AC70" s="24">
        <f>IF(AQ70="1",BI70,0)</f>
        <v>0</v>
      </c>
      <c r="AD70" s="24">
        <f>IF(AQ70="7",BH70,0)</f>
        <v>0</v>
      </c>
      <c r="AE70" s="24">
        <f>IF(AQ70="7",BI70,0)</f>
        <v>0</v>
      </c>
      <c r="AF70" s="24">
        <f>IF(AQ70="2",BH70,0)</f>
        <v>0</v>
      </c>
      <c r="AG70" s="24">
        <f>IF(AQ70="2",BI70,0)</f>
        <v>0</v>
      </c>
      <c r="AH70" s="24">
        <f>IF(AQ70="0",BJ70,0)</f>
        <v>0</v>
      </c>
      <c r="AI70" s="10" t="s">
        <v>51</v>
      </c>
      <c r="AJ70" s="24">
        <f>IF(AN70=0,J70,0)</f>
        <v>0</v>
      </c>
      <c r="AK70" s="24">
        <f>IF(AN70=12,J70,0)</f>
        <v>0</v>
      </c>
      <c r="AL70" s="24">
        <f>IF(AN70=21,J70,0)</f>
        <v>0</v>
      </c>
      <c r="AN70" s="24">
        <v>21</v>
      </c>
      <c r="AO70" s="24">
        <f>G70*0</f>
        <v>0</v>
      </c>
      <c r="AP70" s="24">
        <f>G70*(1-0)</f>
        <v>0</v>
      </c>
      <c r="AQ70" s="26" t="s">
        <v>54</v>
      </c>
      <c r="AV70" s="24">
        <f>AW70+AX70</f>
        <v>0</v>
      </c>
      <c r="AW70" s="24">
        <f>F70*AO70</f>
        <v>0</v>
      </c>
      <c r="AX70" s="24">
        <f>F70*AP70</f>
        <v>0</v>
      </c>
      <c r="AY70" s="26" t="s">
        <v>151</v>
      </c>
      <c r="AZ70" s="26" t="s">
        <v>73</v>
      </c>
      <c r="BA70" s="10" t="s">
        <v>59</v>
      </c>
      <c r="BC70" s="24">
        <f>AW70+AX70</f>
        <v>0</v>
      </c>
      <c r="BD70" s="24">
        <f>G70/(100-BE70)*100</f>
        <v>0</v>
      </c>
      <c r="BE70" s="24">
        <v>0</v>
      </c>
      <c r="BF70" s="24">
        <f>70</f>
        <v>70</v>
      </c>
      <c r="BH70" s="24">
        <f>F70*AO70</f>
        <v>0</v>
      </c>
      <c r="BI70" s="24">
        <f>F70*AP70</f>
        <v>0</v>
      </c>
      <c r="BJ70" s="24">
        <f>F70*G70</f>
        <v>0</v>
      </c>
      <c r="BK70" s="24"/>
      <c r="BL70" s="24">
        <v>16</v>
      </c>
      <c r="BW70" s="24">
        <v>21</v>
      </c>
      <c r="BX70" s="4" t="s">
        <v>169</v>
      </c>
    </row>
    <row r="71" spans="1:76">
      <c r="A71" s="27"/>
      <c r="C71" s="28" t="s">
        <v>162</v>
      </c>
      <c r="D71" s="28" t="s">
        <v>51</v>
      </c>
      <c r="F71" s="29">
        <v>50.499540000000003</v>
      </c>
      <c r="K71" s="30"/>
    </row>
    <row r="72" spans="1:76">
      <c r="A72" s="27"/>
      <c r="C72" s="28" t="s">
        <v>163</v>
      </c>
      <c r="D72" s="28" t="s">
        <v>51</v>
      </c>
      <c r="F72" s="29">
        <v>144.24573000000001</v>
      </c>
      <c r="K72" s="30"/>
    </row>
    <row r="73" spans="1:76">
      <c r="A73" s="2" t="s">
        <v>170</v>
      </c>
      <c r="B73" s="3" t="s">
        <v>165</v>
      </c>
      <c r="C73" s="72" t="s">
        <v>171</v>
      </c>
      <c r="D73" s="67"/>
      <c r="E73" s="3" t="s">
        <v>91</v>
      </c>
      <c r="F73" s="24">
        <v>194.74527</v>
      </c>
      <c r="G73" s="24">
        <v>0</v>
      </c>
      <c r="H73" s="24">
        <f>F73*AO73</f>
        <v>0</v>
      </c>
      <c r="I73" s="24">
        <f>F73*AP73</f>
        <v>0</v>
      </c>
      <c r="J73" s="24">
        <f>F73*G73</f>
        <v>0</v>
      </c>
      <c r="K73" s="25" t="s">
        <v>71</v>
      </c>
      <c r="Z73" s="24">
        <f>IF(AQ73="5",BJ73,0)</f>
        <v>0</v>
      </c>
      <c r="AB73" s="24">
        <f>IF(AQ73="1",BH73,0)</f>
        <v>0</v>
      </c>
      <c r="AC73" s="24">
        <f>IF(AQ73="1",BI73,0)</f>
        <v>0</v>
      </c>
      <c r="AD73" s="24">
        <f>IF(AQ73="7",BH73,0)</f>
        <v>0</v>
      </c>
      <c r="AE73" s="24">
        <f>IF(AQ73="7",BI73,0)</f>
        <v>0</v>
      </c>
      <c r="AF73" s="24">
        <f>IF(AQ73="2",BH73,0)</f>
        <v>0</v>
      </c>
      <c r="AG73" s="24">
        <f>IF(AQ73="2",BI73,0)</f>
        <v>0</v>
      </c>
      <c r="AH73" s="24">
        <f>IF(AQ73="0",BJ73,0)</f>
        <v>0</v>
      </c>
      <c r="AI73" s="10" t="s">
        <v>51</v>
      </c>
      <c r="AJ73" s="24">
        <f>IF(AN73=0,J73,0)</f>
        <v>0</v>
      </c>
      <c r="AK73" s="24">
        <f>IF(AN73=12,J73,0)</f>
        <v>0</v>
      </c>
      <c r="AL73" s="24">
        <f>IF(AN73=21,J73,0)</f>
        <v>0</v>
      </c>
      <c r="AN73" s="24">
        <v>21</v>
      </c>
      <c r="AO73" s="24">
        <f>G73*0</f>
        <v>0</v>
      </c>
      <c r="AP73" s="24">
        <f>G73*(1-0)</f>
        <v>0</v>
      </c>
      <c r="AQ73" s="26" t="s">
        <v>54</v>
      </c>
      <c r="AV73" s="24">
        <f>AW73+AX73</f>
        <v>0</v>
      </c>
      <c r="AW73" s="24">
        <f>F73*AO73</f>
        <v>0</v>
      </c>
      <c r="AX73" s="24">
        <f>F73*AP73</f>
        <v>0</v>
      </c>
      <c r="AY73" s="26" t="s">
        <v>151</v>
      </c>
      <c r="AZ73" s="26" t="s">
        <v>73</v>
      </c>
      <c r="BA73" s="10" t="s">
        <v>59</v>
      </c>
      <c r="BC73" s="24">
        <f>AW73+AX73</f>
        <v>0</v>
      </c>
      <c r="BD73" s="24">
        <f>G73/(100-BE73)*100</f>
        <v>0</v>
      </c>
      <c r="BE73" s="24">
        <v>0</v>
      </c>
      <c r="BF73" s="24">
        <f>73</f>
        <v>73</v>
      </c>
      <c r="BH73" s="24">
        <f>F73*AO73</f>
        <v>0</v>
      </c>
      <c r="BI73" s="24">
        <f>F73*AP73</f>
        <v>0</v>
      </c>
      <c r="BJ73" s="24">
        <f>F73*G73</f>
        <v>0</v>
      </c>
      <c r="BK73" s="24"/>
      <c r="BL73" s="24">
        <v>16</v>
      </c>
      <c r="BW73" s="24">
        <v>21</v>
      </c>
      <c r="BX73" s="4" t="s">
        <v>171</v>
      </c>
    </row>
    <row r="74" spans="1:76">
      <c r="A74" s="27"/>
      <c r="C74" s="28" t="s">
        <v>167</v>
      </c>
      <c r="D74" s="28" t="s">
        <v>51</v>
      </c>
      <c r="F74" s="29">
        <v>194.74527</v>
      </c>
      <c r="K74" s="30"/>
    </row>
    <row r="75" spans="1:76">
      <c r="A75" s="2" t="s">
        <v>172</v>
      </c>
      <c r="B75" s="3" t="s">
        <v>160</v>
      </c>
      <c r="C75" s="72" t="s">
        <v>173</v>
      </c>
      <c r="D75" s="67"/>
      <c r="E75" s="3" t="s">
        <v>91</v>
      </c>
      <c r="F75" s="24">
        <v>106.88327</v>
      </c>
      <c r="G75" s="24">
        <v>0</v>
      </c>
      <c r="H75" s="24">
        <f>F75*AO75</f>
        <v>0</v>
      </c>
      <c r="I75" s="24">
        <f>F75*AP75</f>
        <v>0</v>
      </c>
      <c r="J75" s="24">
        <f>F75*G75</f>
        <v>0</v>
      </c>
      <c r="K75" s="25" t="s">
        <v>71</v>
      </c>
      <c r="Z75" s="24">
        <f>IF(AQ75="5",BJ75,0)</f>
        <v>0</v>
      </c>
      <c r="AB75" s="24">
        <f>IF(AQ75="1",BH75,0)</f>
        <v>0</v>
      </c>
      <c r="AC75" s="24">
        <f>IF(AQ75="1",BI75,0)</f>
        <v>0</v>
      </c>
      <c r="AD75" s="24">
        <f>IF(AQ75="7",BH75,0)</f>
        <v>0</v>
      </c>
      <c r="AE75" s="24">
        <f>IF(AQ75="7",BI75,0)</f>
        <v>0</v>
      </c>
      <c r="AF75" s="24">
        <f>IF(AQ75="2",BH75,0)</f>
        <v>0</v>
      </c>
      <c r="AG75" s="24">
        <f>IF(AQ75="2",BI75,0)</f>
        <v>0</v>
      </c>
      <c r="AH75" s="24">
        <f>IF(AQ75="0",BJ75,0)</f>
        <v>0</v>
      </c>
      <c r="AI75" s="10" t="s">
        <v>51</v>
      </c>
      <c r="AJ75" s="24">
        <f>IF(AN75=0,J75,0)</f>
        <v>0</v>
      </c>
      <c r="AK75" s="24">
        <f>IF(AN75=12,J75,0)</f>
        <v>0</v>
      </c>
      <c r="AL75" s="24">
        <f>IF(AN75=21,J75,0)</f>
        <v>0</v>
      </c>
      <c r="AN75" s="24">
        <v>21</v>
      </c>
      <c r="AO75" s="24">
        <f>G75*0</f>
        <v>0</v>
      </c>
      <c r="AP75" s="24">
        <f>G75*(1-0)</f>
        <v>0</v>
      </c>
      <c r="AQ75" s="26" t="s">
        <v>54</v>
      </c>
      <c r="AV75" s="24">
        <f>AW75+AX75</f>
        <v>0</v>
      </c>
      <c r="AW75" s="24">
        <f>F75*AO75</f>
        <v>0</v>
      </c>
      <c r="AX75" s="24">
        <f>F75*AP75</f>
        <v>0</v>
      </c>
      <c r="AY75" s="26" t="s">
        <v>151</v>
      </c>
      <c r="AZ75" s="26" t="s">
        <v>73</v>
      </c>
      <c r="BA75" s="10" t="s">
        <v>59</v>
      </c>
      <c r="BC75" s="24">
        <f>AW75+AX75</f>
        <v>0</v>
      </c>
      <c r="BD75" s="24">
        <f>G75/(100-BE75)*100</f>
        <v>0</v>
      </c>
      <c r="BE75" s="24">
        <v>0</v>
      </c>
      <c r="BF75" s="24">
        <f>75</f>
        <v>75</v>
      </c>
      <c r="BH75" s="24">
        <f>F75*AO75</f>
        <v>0</v>
      </c>
      <c r="BI75" s="24">
        <f>F75*AP75</f>
        <v>0</v>
      </c>
      <c r="BJ75" s="24">
        <f>F75*G75</f>
        <v>0</v>
      </c>
      <c r="BK75" s="24"/>
      <c r="BL75" s="24">
        <v>16</v>
      </c>
      <c r="BW75" s="24">
        <v>21</v>
      </c>
      <c r="BX75" s="4" t="s">
        <v>173</v>
      </c>
    </row>
    <row r="76" spans="1:76">
      <c r="A76" s="27"/>
      <c r="C76" s="28" t="s">
        <v>174</v>
      </c>
      <c r="D76" s="28" t="s">
        <v>51</v>
      </c>
      <c r="F76" s="29">
        <v>301.62853999999999</v>
      </c>
      <c r="K76" s="30"/>
    </row>
    <row r="77" spans="1:76">
      <c r="A77" s="27"/>
      <c r="C77" s="28" t="s">
        <v>175</v>
      </c>
      <c r="D77" s="28" t="s">
        <v>51</v>
      </c>
      <c r="F77" s="29">
        <v>-50.499540000000003</v>
      </c>
      <c r="K77" s="30"/>
    </row>
    <row r="78" spans="1:76">
      <c r="A78" s="27"/>
      <c r="C78" s="28" t="s">
        <v>176</v>
      </c>
      <c r="D78" s="28" t="s">
        <v>51</v>
      </c>
      <c r="F78" s="29">
        <v>-144.24573000000001</v>
      </c>
      <c r="K78" s="30"/>
    </row>
    <row r="79" spans="1:76">
      <c r="A79" s="2" t="s">
        <v>177</v>
      </c>
      <c r="B79" s="3" t="s">
        <v>178</v>
      </c>
      <c r="C79" s="72" t="s">
        <v>179</v>
      </c>
      <c r="D79" s="67"/>
      <c r="E79" s="3" t="s">
        <v>91</v>
      </c>
      <c r="F79" s="24">
        <v>106.88363</v>
      </c>
      <c r="G79" s="24">
        <v>0</v>
      </c>
      <c r="H79" s="24">
        <f>F79*AO79</f>
        <v>0</v>
      </c>
      <c r="I79" s="24">
        <f>F79*AP79</f>
        <v>0</v>
      </c>
      <c r="J79" s="24">
        <f>F79*G79</f>
        <v>0</v>
      </c>
      <c r="K79" s="25" t="s">
        <v>71</v>
      </c>
      <c r="Z79" s="24">
        <f>IF(AQ79="5",BJ79,0)</f>
        <v>0</v>
      </c>
      <c r="AB79" s="24">
        <f>IF(AQ79="1",BH79,0)</f>
        <v>0</v>
      </c>
      <c r="AC79" s="24">
        <f>IF(AQ79="1",BI79,0)</f>
        <v>0</v>
      </c>
      <c r="AD79" s="24">
        <f>IF(AQ79="7",BH79,0)</f>
        <v>0</v>
      </c>
      <c r="AE79" s="24">
        <f>IF(AQ79="7",BI79,0)</f>
        <v>0</v>
      </c>
      <c r="AF79" s="24">
        <f>IF(AQ79="2",BH79,0)</f>
        <v>0</v>
      </c>
      <c r="AG79" s="24">
        <f>IF(AQ79="2",BI79,0)</f>
        <v>0</v>
      </c>
      <c r="AH79" s="24">
        <f>IF(AQ79="0",BJ79,0)</f>
        <v>0</v>
      </c>
      <c r="AI79" s="10" t="s">
        <v>51</v>
      </c>
      <c r="AJ79" s="24">
        <f>IF(AN79=0,J79,0)</f>
        <v>0</v>
      </c>
      <c r="AK79" s="24">
        <f>IF(AN79=12,J79,0)</f>
        <v>0</v>
      </c>
      <c r="AL79" s="24">
        <f>IF(AN79=21,J79,0)</f>
        <v>0</v>
      </c>
      <c r="AN79" s="24">
        <v>21</v>
      </c>
      <c r="AO79" s="24">
        <f>G79*0</f>
        <v>0</v>
      </c>
      <c r="AP79" s="24">
        <f>G79*(1-0)</f>
        <v>0</v>
      </c>
      <c r="AQ79" s="26" t="s">
        <v>54</v>
      </c>
      <c r="AV79" s="24">
        <f>AW79+AX79</f>
        <v>0</v>
      </c>
      <c r="AW79" s="24">
        <f>F79*AO79</f>
        <v>0</v>
      </c>
      <c r="AX79" s="24">
        <f>F79*AP79</f>
        <v>0</v>
      </c>
      <c r="AY79" s="26" t="s">
        <v>151</v>
      </c>
      <c r="AZ79" s="26" t="s">
        <v>73</v>
      </c>
      <c r="BA79" s="10" t="s">
        <v>59</v>
      </c>
      <c r="BC79" s="24">
        <f>AW79+AX79</f>
        <v>0</v>
      </c>
      <c r="BD79" s="24">
        <f>G79/(100-BE79)*100</f>
        <v>0</v>
      </c>
      <c r="BE79" s="24">
        <v>0</v>
      </c>
      <c r="BF79" s="24">
        <f>79</f>
        <v>79</v>
      </c>
      <c r="BH79" s="24">
        <f>F79*AO79</f>
        <v>0</v>
      </c>
      <c r="BI79" s="24">
        <f>F79*AP79</f>
        <v>0</v>
      </c>
      <c r="BJ79" s="24">
        <f>F79*G79</f>
        <v>0</v>
      </c>
      <c r="BK79" s="24"/>
      <c r="BL79" s="24">
        <v>16</v>
      </c>
      <c r="BW79" s="24">
        <v>21</v>
      </c>
      <c r="BX79" s="4" t="s">
        <v>179</v>
      </c>
    </row>
    <row r="80" spans="1:76">
      <c r="A80" s="27"/>
      <c r="C80" s="28" t="s">
        <v>180</v>
      </c>
      <c r="D80" s="28" t="s">
        <v>51</v>
      </c>
      <c r="F80" s="29">
        <v>106.88363</v>
      </c>
      <c r="K80" s="30"/>
    </row>
    <row r="81" spans="1:76">
      <c r="A81" s="2" t="s">
        <v>181</v>
      </c>
      <c r="B81" s="3" t="s">
        <v>182</v>
      </c>
      <c r="C81" s="72" t="s">
        <v>183</v>
      </c>
      <c r="D81" s="67"/>
      <c r="E81" s="3" t="s">
        <v>91</v>
      </c>
      <c r="F81" s="24">
        <v>2030.7889700000001</v>
      </c>
      <c r="G81" s="24">
        <v>0</v>
      </c>
      <c r="H81" s="24">
        <f>F81*AO81</f>
        <v>0</v>
      </c>
      <c r="I81" s="24">
        <f>F81*AP81</f>
        <v>0</v>
      </c>
      <c r="J81" s="24">
        <f>F81*G81</f>
        <v>0</v>
      </c>
      <c r="K81" s="25" t="s">
        <v>71</v>
      </c>
      <c r="Z81" s="24">
        <f>IF(AQ81="5",BJ81,0)</f>
        <v>0</v>
      </c>
      <c r="AB81" s="24">
        <f>IF(AQ81="1",BH81,0)</f>
        <v>0</v>
      </c>
      <c r="AC81" s="24">
        <f>IF(AQ81="1",BI81,0)</f>
        <v>0</v>
      </c>
      <c r="AD81" s="24">
        <f>IF(AQ81="7",BH81,0)</f>
        <v>0</v>
      </c>
      <c r="AE81" s="24">
        <f>IF(AQ81="7",BI81,0)</f>
        <v>0</v>
      </c>
      <c r="AF81" s="24">
        <f>IF(AQ81="2",BH81,0)</f>
        <v>0</v>
      </c>
      <c r="AG81" s="24">
        <f>IF(AQ81="2",BI81,0)</f>
        <v>0</v>
      </c>
      <c r="AH81" s="24">
        <f>IF(AQ81="0",BJ81,0)</f>
        <v>0</v>
      </c>
      <c r="AI81" s="10" t="s">
        <v>51</v>
      </c>
      <c r="AJ81" s="24">
        <f>IF(AN81=0,J81,0)</f>
        <v>0</v>
      </c>
      <c r="AK81" s="24">
        <f>IF(AN81=12,J81,0)</f>
        <v>0</v>
      </c>
      <c r="AL81" s="24">
        <f>IF(AN81=21,J81,0)</f>
        <v>0</v>
      </c>
      <c r="AN81" s="24">
        <v>21</v>
      </c>
      <c r="AO81" s="24">
        <f>G81*0</f>
        <v>0</v>
      </c>
      <c r="AP81" s="24">
        <f>G81*(1-0)</f>
        <v>0</v>
      </c>
      <c r="AQ81" s="26" t="s">
        <v>54</v>
      </c>
      <c r="AV81" s="24">
        <f>AW81+AX81</f>
        <v>0</v>
      </c>
      <c r="AW81" s="24">
        <f>F81*AO81</f>
        <v>0</v>
      </c>
      <c r="AX81" s="24">
        <f>F81*AP81</f>
        <v>0</v>
      </c>
      <c r="AY81" s="26" t="s">
        <v>151</v>
      </c>
      <c r="AZ81" s="26" t="s">
        <v>73</v>
      </c>
      <c r="BA81" s="10" t="s">
        <v>59</v>
      </c>
      <c r="BC81" s="24">
        <f>AW81+AX81</f>
        <v>0</v>
      </c>
      <c r="BD81" s="24">
        <f>G81/(100-BE81)*100</f>
        <v>0</v>
      </c>
      <c r="BE81" s="24">
        <v>0</v>
      </c>
      <c r="BF81" s="24">
        <f>81</f>
        <v>81</v>
      </c>
      <c r="BH81" s="24">
        <f>F81*AO81</f>
        <v>0</v>
      </c>
      <c r="BI81" s="24">
        <f>F81*AP81</f>
        <v>0</v>
      </c>
      <c r="BJ81" s="24">
        <f>F81*G81</f>
        <v>0</v>
      </c>
      <c r="BK81" s="24"/>
      <c r="BL81" s="24">
        <v>16</v>
      </c>
      <c r="BW81" s="24">
        <v>21</v>
      </c>
      <c r="BX81" s="4" t="s">
        <v>183</v>
      </c>
    </row>
    <row r="82" spans="1:76">
      <c r="A82" s="27"/>
      <c r="C82" s="28" t="s">
        <v>184</v>
      </c>
      <c r="D82" s="28" t="s">
        <v>51</v>
      </c>
      <c r="F82" s="29">
        <v>2030.7889700000001</v>
      </c>
      <c r="K82" s="30"/>
    </row>
    <row r="83" spans="1:76">
      <c r="A83" s="31" t="s">
        <v>51</v>
      </c>
      <c r="B83" s="32" t="s">
        <v>131</v>
      </c>
      <c r="C83" s="88" t="s">
        <v>185</v>
      </c>
      <c r="D83" s="89"/>
      <c r="E83" s="33" t="s">
        <v>4</v>
      </c>
      <c r="F83" s="33" t="s">
        <v>4</v>
      </c>
      <c r="G83" s="33" t="s">
        <v>4</v>
      </c>
      <c r="H83" s="1">
        <f>SUM(H84:H102)</f>
        <v>0</v>
      </c>
      <c r="I83" s="1">
        <f>SUM(I84:I102)</f>
        <v>0</v>
      </c>
      <c r="J83" s="1">
        <f>SUM(J84:J102)</f>
        <v>0</v>
      </c>
      <c r="K83" s="34" t="s">
        <v>51</v>
      </c>
      <c r="AI83" s="10" t="s">
        <v>51</v>
      </c>
      <c r="AS83" s="1">
        <f>SUM(AJ84:AJ102)</f>
        <v>0</v>
      </c>
      <c r="AT83" s="1">
        <f>SUM(AK84:AK102)</f>
        <v>0</v>
      </c>
      <c r="AU83" s="1">
        <f>SUM(AL84:AL102)</f>
        <v>0</v>
      </c>
    </row>
    <row r="84" spans="1:76">
      <c r="A84" s="2" t="s">
        <v>130</v>
      </c>
      <c r="B84" s="3" t="s">
        <v>186</v>
      </c>
      <c r="C84" s="72" t="s">
        <v>187</v>
      </c>
      <c r="D84" s="67"/>
      <c r="E84" s="3" t="s">
        <v>91</v>
      </c>
      <c r="F84" s="24">
        <v>50.499540000000003</v>
      </c>
      <c r="G84" s="24">
        <v>0</v>
      </c>
      <c r="H84" s="24">
        <f>F84*AO84</f>
        <v>0</v>
      </c>
      <c r="I84" s="24">
        <f>F84*AP84</f>
        <v>0</v>
      </c>
      <c r="J84" s="24">
        <f>F84*G84</f>
        <v>0</v>
      </c>
      <c r="K84" s="25" t="s">
        <v>71</v>
      </c>
      <c r="Z84" s="24">
        <f>IF(AQ84="5",BJ84,0)</f>
        <v>0</v>
      </c>
      <c r="AB84" s="24">
        <f>IF(AQ84="1",BH84,0)</f>
        <v>0</v>
      </c>
      <c r="AC84" s="24">
        <f>IF(AQ84="1",BI84,0)</f>
        <v>0</v>
      </c>
      <c r="AD84" s="24">
        <f>IF(AQ84="7",BH84,0)</f>
        <v>0</v>
      </c>
      <c r="AE84" s="24">
        <f>IF(AQ84="7",BI84,0)</f>
        <v>0</v>
      </c>
      <c r="AF84" s="24">
        <f>IF(AQ84="2",BH84,0)</f>
        <v>0</v>
      </c>
      <c r="AG84" s="24">
        <f>IF(AQ84="2",BI84,0)</f>
        <v>0</v>
      </c>
      <c r="AH84" s="24">
        <f>IF(AQ84="0",BJ84,0)</f>
        <v>0</v>
      </c>
      <c r="AI84" s="10" t="s">
        <v>51</v>
      </c>
      <c r="AJ84" s="24">
        <f>IF(AN84=0,J84,0)</f>
        <v>0</v>
      </c>
      <c r="AK84" s="24">
        <f>IF(AN84=12,J84,0)</f>
        <v>0</v>
      </c>
      <c r="AL84" s="24">
        <f>IF(AN84=21,J84,0)</f>
        <v>0</v>
      </c>
      <c r="AN84" s="24">
        <v>21</v>
      </c>
      <c r="AO84" s="24">
        <f>G84*0</f>
        <v>0</v>
      </c>
      <c r="AP84" s="24">
        <f>G84*(1-0)</f>
        <v>0</v>
      </c>
      <c r="AQ84" s="26" t="s">
        <v>54</v>
      </c>
      <c r="AV84" s="24">
        <f>AW84+AX84</f>
        <v>0</v>
      </c>
      <c r="AW84" s="24">
        <f>F84*AO84</f>
        <v>0</v>
      </c>
      <c r="AX84" s="24">
        <f>F84*AP84</f>
        <v>0</v>
      </c>
      <c r="AY84" s="26" t="s">
        <v>188</v>
      </c>
      <c r="AZ84" s="26" t="s">
        <v>73</v>
      </c>
      <c r="BA84" s="10" t="s">
        <v>59</v>
      </c>
      <c r="BC84" s="24">
        <f>AW84+AX84</f>
        <v>0</v>
      </c>
      <c r="BD84" s="24">
        <f>G84/(100-BE84)*100</f>
        <v>0</v>
      </c>
      <c r="BE84" s="24">
        <v>0</v>
      </c>
      <c r="BF84" s="24">
        <f>84</f>
        <v>84</v>
      </c>
      <c r="BH84" s="24">
        <f>F84*AO84</f>
        <v>0</v>
      </c>
      <c r="BI84" s="24">
        <f>F84*AP84</f>
        <v>0</v>
      </c>
      <c r="BJ84" s="24">
        <f>F84*G84</f>
        <v>0</v>
      </c>
      <c r="BK84" s="24"/>
      <c r="BL84" s="24">
        <v>17</v>
      </c>
      <c r="BW84" s="24">
        <v>21</v>
      </c>
      <c r="BX84" s="4" t="s">
        <v>187</v>
      </c>
    </row>
    <row r="85" spans="1:76">
      <c r="A85" s="27"/>
      <c r="C85" s="28" t="s">
        <v>189</v>
      </c>
      <c r="D85" s="28" t="s">
        <v>51</v>
      </c>
      <c r="F85" s="29">
        <v>78.143540000000002</v>
      </c>
      <c r="K85" s="30"/>
    </row>
    <row r="86" spans="1:76">
      <c r="A86" s="27"/>
      <c r="C86" s="28" t="s">
        <v>190</v>
      </c>
      <c r="D86" s="28" t="s">
        <v>51</v>
      </c>
      <c r="F86" s="29">
        <v>-1.8134999999999999</v>
      </c>
      <c r="K86" s="30"/>
    </row>
    <row r="87" spans="1:76">
      <c r="A87" s="27"/>
      <c r="C87" s="28" t="s">
        <v>191</v>
      </c>
      <c r="D87" s="28" t="s">
        <v>51</v>
      </c>
      <c r="F87" s="29">
        <v>-1.8134999999999999</v>
      </c>
      <c r="K87" s="30"/>
    </row>
    <row r="88" spans="1:76">
      <c r="A88" s="27"/>
      <c r="C88" s="28" t="s">
        <v>192</v>
      </c>
      <c r="D88" s="28" t="s">
        <v>51</v>
      </c>
      <c r="F88" s="29">
        <v>-23.625</v>
      </c>
      <c r="K88" s="30"/>
    </row>
    <row r="89" spans="1:76">
      <c r="A89" s="27"/>
      <c r="C89" s="28" t="s">
        <v>193</v>
      </c>
      <c r="D89" s="28" t="s">
        <v>51</v>
      </c>
      <c r="F89" s="29">
        <v>-0.39200000000000002</v>
      </c>
      <c r="K89" s="30"/>
    </row>
    <row r="90" spans="1:76">
      <c r="A90" s="2" t="s">
        <v>194</v>
      </c>
      <c r="B90" s="3" t="s">
        <v>195</v>
      </c>
      <c r="C90" s="72" t="s">
        <v>196</v>
      </c>
      <c r="D90" s="67"/>
      <c r="E90" s="3" t="s">
        <v>91</v>
      </c>
      <c r="F90" s="24">
        <v>58.554270000000002</v>
      </c>
      <c r="G90" s="24">
        <v>0</v>
      </c>
      <c r="H90" s="24">
        <f>F90*AO90</f>
        <v>0</v>
      </c>
      <c r="I90" s="24">
        <f>F90*AP90</f>
        <v>0</v>
      </c>
      <c r="J90" s="24">
        <f>F90*G90</f>
        <v>0</v>
      </c>
      <c r="K90" s="25" t="s">
        <v>71</v>
      </c>
      <c r="Z90" s="24">
        <f>IF(AQ90="5",BJ90,0)</f>
        <v>0</v>
      </c>
      <c r="AB90" s="24">
        <f>IF(AQ90="1",BH90,0)</f>
        <v>0</v>
      </c>
      <c r="AC90" s="24">
        <f>IF(AQ90="1",BI90,0)</f>
        <v>0</v>
      </c>
      <c r="AD90" s="24">
        <f>IF(AQ90="7",BH90,0)</f>
        <v>0</v>
      </c>
      <c r="AE90" s="24">
        <f>IF(AQ90="7",BI90,0)</f>
        <v>0</v>
      </c>
      <c r="AF90" s="24">
        <f>IF(AQ90="2",BH90,0)</f>
        <v>0</v>
      </c>
      <c r="AG90" s="24">
        <f>IF(AQ90="2",BI90,0)</f>
        <v>0</v>
      </c>
      <c r="AH90" s="24">
        <f>IF(AQ90="0",BJ90,0)</f>
        <v>0</v>
      </c>
      <c r="AI90" s="10" t="s">
        <v>51</v>
      </c>
      <c r="AJ90" s="24">
        <f>IF(AN90=0,J90,0)</f>
        <v>0</v>
      </c>
      <c r="AK90" s="24">
        <f>IF(AN90=12,J90,0)</f>
        <v>0</v>
      </c>
      <c r="AL90" s="24">
        <f>IF(AN90=21,J90,0)</f>
        <v>0</v>
      </c>
      <c r="AN90" s="24">
        <v>21</v>
      </c>
      <c r="AO90" s="24">
        <f>G90*0.306482536</f>
        <v>0</v>
      </c>
      <c r="AP90" s="24">
        <f>G90*(1-0.306482536)</f>
        <v>0</v>
      </c>
      <c r="AQ90" s="26" t="s">
        <v>54</v>
      </c>
      <c r="AV90" s="24">
        <f>AW90+AX90</f>
        <v>0</v>
      </c>
      <c r="AW90" s="24">
        <f>F90*AO90</f>
        <v>0</v>
      </c>
      <c r="AX90" s="24">
        <f>F90*AP90</f>
        <v>0</v>
      </c>
      <c r="AY90" s="26" t="s">
        <v>188</v>
      </c>
      <c r="AZ90" s="26" t="s">
        <v>73</v>
      </c>
      <c r="BA90" s="10" t="s">
        <v>59</v>
      </c>
      <c r="BC90" s="24">
        <f>AW90+AX90</f>
        <v>0</v>
      </c>
      <c r="BD90" s="24">
        <f>G90/(100-BE90)*100</f>
        <v>0</v>
      </c>
      <c r="BE90" s="24">
        <v>0</v>
      </c>
      <c r="BF90" s="24">
        <f>90</f>
        <v>90</v>
      </c>
      <c r="BH90" s="24">
        <f>F90*AO90</f>
        <v>0</v>
      </c>
      <c r="BI90" s="24">
        <f>F90*AP90</f>
        <v>0</v>
      </c>
      <c r="BJ90" s="24">
        <f>F90*G90</f>
        <v>0</v>
      </c>
      <c r="BK90" s="24"/>
      <c r="BL90" s="24">
        <v>17</v>
      </c>
      <c r="BW90" s="24">
        <v>21</v>
      </c>
      <c r="BX90" s="4" t="s">
        <v>196</v>
      </c>
    </row>
    <row r="91" spans="1:76">
      <c r="A91" s="27"/>
      <c r="C91" s="28" t="s">
        <v>197</v>
      </c>
      <c r="D91" s="28" t="s">
        <v>51</v>
      </c>
      <c r="F91" s="29">
        <v>60.676000000000002</v>
      </c>
      <c r="K91" s="30"/>
    </row>
    <row r="92" spans="1:76">
      <c r="A92" s="27"/>
      <c r="C92" s="28" t="s">
        <v>198</v>
      </c>
      <c r="D92" s="28" t="s">
        <v>51</v>
      </c>
      <c r="F92" s="29">
        <v>-2.1217299999999999</v>
      </c>
      <c r="K92" s="30"/>
    </row>
    <row r="93" spans="1:76">
      <c r="A93" s="27"/>
      <c r="C93" s="28" t="s">
        <v>199</v>
      </c>
      <c r="D93" s="28" t="s">
        <v>51</v>
      </c>
      <c r="F93" s="29">
        <v>0</v>
      </c>
      <c r="K93" s="30"/>
    </row>
    <row r="94" spans="1:76">
      <c r="A94" s="2" t="s">
        <v>200</v>
      </c>
      <c r="B94" s="3" t="s">
        <v>186</v>
      </c>
      <c r="C94" s="72" t="s">
        <v>201</v>
      </c>
      <c r="D94" s="67"/>
      <c r="E94" s="3" t="s">
        <v>91</v>
      </c>
      <c r="F94" s="24">
        <v>144.24573000000001</v>
      </c>
      <c r="G94" s="24">
        <v>0</v>
      </c>
      <c r="H94" s="24">
        <f>F94*AO94</f>
        <v>0</v>
      </c>
      <c r="I94" s="24">
        <f>F94*AP94</f>
        <v>0</v>
      </c>
      <c r="J94" s="24">
        <f>F94*G94</f>
        <v>0</v>
      </c>
      <c r="K94" s="25" t="s">
        <v>71</v>
      </c>
      <c r="Z94" s="24">
        <f>IF(AQ94="5",BJ94,0)</f>
        <v>0</v>
      </c>
      <c r="AB94" s="24">
        <f>IF(AQ94="1",BH94,0)</f>
        <v>0</v>
      </c>
      <c r="AC94" s="24">
        <f>IF(AQ94="1",BI94,0)</f>
        <v>0</v>
      </c>
      <c r="AD94" s="24">
        <f>IF(AQ94="7",BH94,0)</f>
        <v>0</v>
      </c>
      <c r="AE94" s="24">
        <f>IF(AQ94="7",BI94,0)</f>
        <v>0</v>
      </c>
      <c r="AF94" s="24">
        <f>IF(AQ94="2",BH94,0)</f>
        <v>0</v>
      </c>
      <c r="AG94" s="24">
        <f>IF(AQ94="2",BI94,0)</f>
        <v>0</v>
      </c>
      <c r="AH94" s="24">
        <f>IF(AQ94="0",BJ94,0)</f>
        <v>0</v>
      </c>
      <c r="AI94" s="10" t="s">
        <v>51</v>
      </c>
      <c r="AJ94" s="24">
        <f>IF(AN94=0,J94,0)</f>
        <v>0</v>
      </c>
      <c r="AK94" s="24">
        <f>IF(AN94=12,J94,0)</f>
        <v>0</v>
      </c>
      <c r="AL94" s="24">
        <f>IF(AN94=21,J94,0)</f>
        <v>0</v>
      </c>
      <c r="AN94" s="24">
        <v>21</v>
      </c>
      <c r="AO94" s="24">
        <f>G94*0</f>
        <v>0</v>
      </c>
      <c r="AP94" s="24">
        <f>G94*(1-0)</f>
        <v>0</v>
      </c>
      <c r="AQ94" s="26" t="s">
        <v>54</v>
      </c>
      <c r="AV94" s="24">
        <f>AW94+AX94</f>
        <v>0</v>
      </c>
      <c r="AW94" s="24">
        <f>F94*AO94</f>
        <v>0</v>
      </c>
      <c r="AX94" s="24">
        <f>F94*AP94</f>
        <v>0</v>
      </c>
      <c r="AY94" s="26" t="s">
        <v>188</v>
      </c>
      <c r="AZ94" s="26" t="s">
        <v>73</v>
      </c>
      <c r="BA94" s="10" t="s">
        <v>59</v>
      </c>
      <c r="BC94" s="24">
        <f>AW94+AX94</f>
        <v>0</v>
      </c>
      <c r="BD94" s="24">
        <f>G94/(100-BE94)*100</f>
        <v>0</v>
      </c>
      <c r="BE94" s="24">
        <v>0</v>
      </c>
      <c r="BF94" s="24">
        <f>94</f>
        <v>94</v>
      </c>
      <c r="BH94" s="24">
        <f>F94*AO94</f>
        <v>0</v>
      </c>
      <c r="BI94" s="24">
        <f>F94*AP94</f>
        <v>0</v>
      </c>
      <c r="BJ94" s="24">
        <f>F94*G94</f>
        <v>0</v>
      </c>
      <c r="BK94" s="24"/>
      <c r="BL94" s="24">
        <v>17</v>
      </c>
      <c r="BW94" s="24">
        <v>21</v>
      </c>
      <c r="BX94" s="4" t="s">
        <v>201</v>
      </c>
    </row>
    <row r="95" spans="1:76">
      <c r="A95" s="27"/>
      <c r="C95" s="28" t="s">
        <v>202</v>
      </c>
      <c r="D95" s="28" t="s">
        <v>51</v>
      </c>
      <c r="F95" s="29">
        <v>223.48500000000001</v>
      </c>
      <c r="K95" s="30"/>
    </row>
    <row r="96" spans="1:76">
      <c r="A96" s="27"/>
      <c r="C96" s="28" t="s">
        <v>203</v>
      </c>
      <c r="D96" s="28" t="s">
        <v>51</v>
      </c>
      <c r="F96" s="29">
        <v>-20.684999999999999</v>
      </c>
      <c r="K96" s="30"/>
    </row>
    <row r="97" spans="1:76">
      <c r="A97" s="27"/>
      <c r="C97" s="28" t="s">
        <v>204</v>
      </c>
      <c r="D97" s="28" t="s">
        <v>51</v>
      </c>
      <c r="F97" s="29">
        <v>-58.554270000000002</v>
      </c>
      <c r="K97" s="30"/>
    </row>
    <row r="98" spans="1:76">
      <c r="A98" s="2" t="s">
        <v>205</v>
      </c>
      <c r="B98" s="3" t="s">
        <v>206</v>
      </c>
      <c r="C98" s="72" t="s">
        <v>207</v>
      </c>
      <c r="D98" s="67"/>
      <c r="E98" s="3" t="s">
        <v>91</v>
      </c>
      <c r="F98" s="24">
        <v>194.74527</v>
      </c>
      <c r="G98" s="24">
        <v>0</v>
      </c>
      <c r="H98" s="24">
        <f>F98*AO98</f>
        <v>0</v>
      </c>
      <c r="I98" s="24">
        <f>F98*AP98</f>
        <v>0</v>
      </c>
      <c r="J98" s="24">
        <f>F98*G98</f>
        <v>0</v>
      </c>
      <c r="K98" s="25" t="s">
        <v>71</v>
      </c>
      <c r="Z98" s="24">
        <f>IF(AQ98="5",BJ98,0)</f>
        <v>0</v>
      </c>
      <c r="AB98" s="24">
        <f>IF(AQ98="1",BH98,0)</f>
        <v>0</v>
      </c>
      <c r="AC98" s="24">
        <f>IF(AQ98="1",BI98,0)</f>
        <v>0</v>
      </c>
      <c r="AD98" s="24">
        <f>IF(AQ98="7",BH98,0)</f>
        <v>0</v>
      </c>
      <c r="AE98" s="24">
        <f>IF(AQ98="7",BI98,0)</f>
        <v>0</v>
      </c>
      <c r="AF98" s="24">
        <f>IF(AQ98="2",BH98,0)</f>
        <v>0</v>
      </c>
      <c r="AG98" s="24">
        <f>IF(AQ98="2",BI98,0)</f>
        <v>0</v>
      </c>
      <c r="AH98" s="24">
        <f>IF(AQ98="0",BJ98,0)</f>
        <v>0</v>
      </c>
      <c r="AI98" s="10" t="s">
        <v>51</v>
      </c>
      <c r="AJ98" s="24">
        <f>IF(AN98=0,J98,0)</f>
        <v>0</v>
      </c>
      <c r="AK98" s="24">
        <f>IF(AN98=12,J98,0)</f>
        <v>0</v>
      </c>
      <c r="AL98" s="24">
        <f>IF(AN98=21,J98,0)</f>
        <v>0</v>
      </c>
      <c r="AN98" s="24">
        <v>21</v>
      </c>
      <c r="AO98" s="24">
        <f>G98*0</f>
        <v>0</v>
      </c>
      <c r="AP98" s="24">
        <f>G98*(1-0)</f>
        <v>0</v>
      </c>
      <c r="AQ98" s="26" t="s">
        <v>54</v>
      </c>
      <c r="AV98" s="24">
        <f>AW98+AX98</f>
        <v>0</v>
      </c>
      <c r="AW98" s="24">
        <f>F98*AO98</f>
        <v>0</v>
      </c>
      <c r="AX98" s="24">
        <f>F98*AP98</f>
        <v>0</v>
      </c>
      <c r="AY98" s="26" t="s">
        <v>188</v>
      </c>
      <c r="AZ98" s="26" t="s">
        <v>73</v>
      </c>
      <c r="BA98" s="10" t="s">
        <v>59</v>
      </c>
      <c r="BC98" s="24">
        <f>AW98+AX98</f>
        <v>0</v>
      </c>
      <c r="BD98" s="24">
        <f>G98/(100-BE98)*100</f>
        <v>0</v>
      </c>
      <c r="BE98" s="24">
        <v>0</v>
      </c>
      <c r="BF98" s="24">
        <f>98</f>
        <v>98</v>
      </c>
      <c r="BH98" s="24">
        <f>F98*AO98</f>
        <v>0</v>
      </c>
      <c r="BI98" s="24">
        <f>F98*AP98</f>
        <v>0</v>
      </c>
      <c r="BJ98" s="24">
        <f>F98*G98</f>
        <v>0</v>
      </c>
      <c r="BK98" s="24"/>
      <c r="BL98" s="24">
        <v>17</v>
      </c>
      <c r="BW98" s="24">
        <v>21</v>
      </c>
      <c r="BX98" s="4" t="s">
        <v>207</v>
      </c>
    </row>
    <row r="99" spans="1:76">
      <c r="A99" s="27"/>
      <c r="C99" s="28" t="s">
        <v>167</v>
      </c>
      <c r="D99" s="28" t="s">
        <v>51</v>
      </c>
      <c r="F99" s="29">
        <v>194.74527</v>
      </c>
      <c r="K99" s="30"/>
    </row>
    <row r="100" spans="1:76">
      <c r="A100" s="2" t="s">
        <v>208</v>
      </c>
      <c r="B100" s="3" t="s">
        <v>206</v>
      </c>
      <c r="C100" s="72" t="s">
        <v>209</v>
      </c>
      <c r="D100" s="67"/>
      <c r="E100" s="3" t="s">
        <v>91</v>
      </c>
      <c r="F100" s="24">
        <v>106.88363</v>
      </c>
      <c r="G100" s="24">
        <v>0</v>
      </c>
      <c r="H100" s="24">
        <f>F100*AO100</f>
        <v>0</v>
      </c>
      <c r="I100" s="24">
        <f>F100*AP100</f>
        <v>0</v>
      </c>
      <c r="J100" s="24">
        <f>F100*G100</f>
        <v>0</v>
      </c>
      <c r="K100" s="25" t="s">
        <v>71</v>
      </c>
      <c r="Z100" s="24">
        <f>IF(AQ100="5",BJ100,0)</f>
        <v>0</v>
      </c>
      <c r="AB100" s="24">
        <f>IF(AQ100="1",BH100,0)</f>
        <v>0</v>
      </c>
      <c r="AC100" s="24">
        <f>IF(AQ100="1",BI100,0)</f>
        <v>0</v>
      </c>
      <c r="AD100" s="24">
        <f>IF(AQ100="7",BH100,0)</f>
        <v>0</v>
      </c>
      <c r="AE100" s="24">
        <f>IF(AQ100="7",BI100,0)</f>
        <v>0</v>
      </c>
      <c r="AF100" s="24">
        <f>IF(AQ100="2",BH100,0)</f>
        <v>0</v>
      </c>
      <c r="AG100" s="24">
        <f>IF(AQ100="2",BI100,0)</f>
        <v>0</v>
      </c>
      <c r="AH100" s="24">
        <f>IF(AQ100="0",BJ100,0)</f>
        <v>0</v>
      </c>
      <c r="AI100" s="10" t="s">
        <v>51</v>
      </c>
      <c r="AJ100" s="24">
        <f>IF(AN100=0,J100,0)</f>
        <v>0</v>
      </c>
      <c r="AK100" s="24">
        <f>IF(AN100=12,J100,0)</f>
        <v>0</v>
      </c>
      <c r="AL100" s="24">
        <f>IF(AN100=21,J100,0)</f>
        <v>0</v>
      </c>
      <c r="AN100" s="24">
        <v>21</v>
      </c>
      <c r="AO100" s="24">
        <f>G100*0</f>
        <v>0</v>
      </c>
      <c r="AP100" s="24">
        <f>G100*(1-0)</f>
        <v>0</v>
      </c>
      <c r="AQ100" s="26" t="s">
        <v>54</v>
      </c>
      <c r="AV100" s="24">
        <f>AW100+AX100</f>
        <v>0</v>
      </c>
      <c r="AW100" s="24">
        <f>F100*AO100</f>
        <v>0</v>
      </c>
      <c r="AX100" s="24">
        <f>F100*AP100</f>
        <v>0</v>
      </c>
      <c r="AY100" s="26" t="s">
        <v>188</v>
      </c>
      <c r="AZ100" s="26" t="s">
        <v>73</v>
      </c>
      <c r="BA100" s="10" t="s">
        <v>59</v>
      </c>
      <c r="BC100" s="24">
        <f>AW100+AX100</f>
        <v>0</v>
      </c>
      <c r="BD100" s="24">
        <f>G100/(100-BE100)*100</f>
        <v>0</v>
      </c>
      <c r="BE100" s="24">
        <v>0</v>
      </c>
      <c r="BF100" s="24">
        <f>100</f>
        <v>100</v>
      </c>
      <c r="BH100" s="24">
        <f>F100*AO100</f>
        <v>0</v>
      </c>
      <c r="BI100" s="24">
        <f>F100*AP100</f>
        <v>0</v>
      </c>
      <c r="BJ100" s="24">
        <f>F100*G100</f>
        <v>0</v>
      </c>
      <c r="BK100" s="24"/>
      <c r="BL100" s="24">
        <v>17</v>
      </c>
      <c r="BW100" s="24">
        <v>21</v>
      </c>
      <c r="BX100" s="4" t="s">
        <v>209</v>
      </c>
    </row>
    <row r="101" spans="1:76">
      <c r="A101" s="27"/>
      <c r="C101" s="28" t="s">
        <v>180</v>
      </c>
      <c r="D101" s="28" t="s">
        <v>51</v>
      </c>
      <c r="F101" s="29">
        <v>106.88363</v>
      </c>
      <c r="K101" s="30"/>
    </row>
    <row r="102" spans="1:76">
      <c r="A102" s="2" t="s">
        <v>210</v>
      </c>
      <c r="B102" s="3" t="s">
        <v>211</v>
      </c>
      <c r="C102" s="72" t="s">
        <v>212</v>
      </c>
      <c r="D102" s="67"/>
      <c r="E102" s="3" t="s">
        <v>91</v>
      </c>
      <c r="F102" s="24">
        <v>106.88363</v>
      </c>
      <c r="G102" s="24">
        <v>0</v>
      </c>
      <c r="H102" s="24">
        <f>F102*AO102</f>
        <v>0</v>
      </c>
      <c r="I102" s="24">
        <f>F102*AP102</f>
        <v>0</v>
      </c>
      <c r="J102" s="24">
        <f>F102*G102</f>
        <v>0</v>
      </c>
      <c r="K102" s="25" t="s">
        <v>71</v>
      </c>
      <c r="Z102" s="24">
        <f>IF(AQ102="5",BJ102,0)</f>
        <v>0</v>
      </c>
      <c r="AB102" s="24">
        <f>IF(AQ102="1",BH102,0)</f>
        <v>0</v>
      </c>
      <c r="AC102" s="24">
        <f>IF(AQ102="1",BI102,0)</f>
        <v>0</v>
      </c>
      <c r="AD102" s="24">
        <f>IF(AQ102="7",BH102,0)</f>
        <v>0</v>
      </c>
      <c r="AE102" s="24">
        <f>IF(AQ102="7",BI102,0)</f>
        <v>0</v>
      </c>
      <c r="AF102" s="24">
        <f>IF(AQ102="2",BH102,0)</f>
        <v>0</v>
      </c>
      <c r="AG102" s="24">
        <f>IF(AQ102="2",BI102,0)</f>
        <v>0</v>
      </c>
      <c r="AH102" s="24">
        <f>IF(AQ102="0",BJ102,0)</f>
        <v>0</v>
      </c>
      <c r="AI102" s="10" t="s">
        <v>51</v>
      </c>
      <c r="AJ102" s="24">
        <f>IF(AN102=0,J102,0)</f>
        <v>0</v>
      </c>
      <c r="AK102" s="24">
        <f>IF(AN102=12,J102,0)</f>
        <v>0</v>
      </c>
      <c r="AL102" s="24">
        <f>IF(AN102=21,J102,0)</f>
        <v>0</v>
      </c>
      <c r="AN102" s="24">
        <v>21</v>
      </c>
      <c r="AO102" s="24">
        <f>G102*0</f>
        <v>0</v>
      </c>
      <c r="AP102" s="24">
        <f>G102*(1-0)</f>
        <v>0</v>
      </c>
      <c r="AQ102" s="26" t="s">
        <v>54</v>
      </c>
      <c r="AV102" s="24">
        <f>AW102+AX102</f>
        <v>0</v>
      </c>
      <c r="AW102" s="24">
        <f>F102*AO102</f>
        <v>0</v>
      </c>
      <c r="AX102" s="24">
        <f>F102*AP102</f>
        <v>0</v>
      </c>
      <c r="AY102" s="26" t="s">
        <v>188</v>
      </c>
      <c r="AZ102" s="26" t="s">
        <v>73</v>
      </c>
      <c r="BA102" s="10" t="s">
        <v>59</v>
      </c>
      <c r="BC102" s="24">
        <f>AW102+AX102</f>
        <v>0</v>
      </c>
      <c r="BD102" s="24">
        <f>G102/(100-BE102)*100</f>
        <v>0</v>
      </c>
      <c r="BE102" s="24">
        <v>0</v>
      </c>
      <c r="BF102" s="24">
        <f>102</f>
        <v>102</v>
      </c>
      <c r="BH102" s="24">
        <f>F102*AO102</f>
        <v>0</v>
      </c>
      <c r="BI102" s="24">
        <f>F102*AP102</f>
        <v>0</v>
      </c>
      <c r="BJ102" s="24">
        <f>F102*G102</f>
        <v>0</v>
      </c>
      <c r="BK102" s="24"/>
      <c r="BL102" s="24">
        <v>17</v>
      </c>
      <c r="BW102" s="24">
        <v>21</v>
      </c>
      <c r="BX102" s="4" t="s">
        <v>212</v>
      </c>
    </row>
    <row r="103" spans="1:76">
      <c r="A103" s="27"/>
      <c r="C103" s="28" t="s">
        <v>213</v>
      </c>
      <c r="D103" s="28" t="s">
        <v>51</v>
      </c>
      <c r="F103" s="29">
        <v>106.88363</v>
      </c>
      <c r="K103" s="30"/>
    </row>
    <row r="104" spans="1:76">
      <c r="A104" s="31" t="s">
        <v>51</v>
      </c>
      <c r="B104" s="32" t="s">
        <v>135</v>
      </c>
      <c r="C104" s="88" t="s">
        <v>214</v>
      </c>
      <c r="D104" s="89"/>
      <c r="E104" s="33" t="s">
        <v>4</v>
      </c>
      <c r="F104" s="33" t="s">
        <v>4</v>
      </c>
      <c r="G104" s="33" t="s">
        <v>4</v>
      </c>
      <c r="H104" s="1">
        <f>SUM(H105:H105)</f>
        <v>0</v>
      </c>
      <c r="I104" s="1">
        <f>SUM(I105:I105)</f>
        <v>0</v>
      </c>
      <c r="J104" s="1">
        <f>SUM(J105:J105)</f>
        <v>0</v>
      </c>
      <c r="K104" s="34" t="s">
        <v>51</v>
      </c>
      <c r="AI104" s="10" t="s">
        <v>51</v>
      </c>
      <c r="AS104" s="1">
        <f>SUM(AJ105:AJ105)</f>
        <v>0</v>
      </c>
      <c r="AT104" s="1">
        <f>SUM(AK105:AK105)</f>
        <v>0</v>
      </c>
      <c r="AU104" s="1">
        <f>SUM(AL105:AL105)</f>
        <v>0</v>
      </c>
    </row>
    <row r="105" spans="1:76">
      <c r="A105" s="2" t="s">
        <v>215</v>
      </c>
      <c r="B105" s="3" t="s">
        <v>216</v>
      </c>
      <c r="C105" s="72" t="s">
        <v>217</v>
      </c>
      <c r="D105" s="67"/>
      <c r="E105" s="3" t="s">
        <v>122</v>
      </c>
      <c r="F105" s="24">
        <v>4</v>
      </c>
      <c r="G105" s="24">
        <v>0</v>
      </c>
      <c r="H105" s="24">
        <f>F105*AO105</f>
        <v>0</v>
      </c>
      <c r="I105" s="24">
        <f>F105*AP105</f>
        <v>0</v>
      </c>
      <c r="J105" s="24">
        <f>F105*G105</f>
        <v>0</v>
      </c>
      <c r="K105" s="25" t="s">
        <v>51</v>
      </c>
      <c r="Z105" s="24">
        <f>IF(AQ105="5",BJ105,0)</f>
        <v>0</v>
      </c>
      <c r="AB105" s="24">
        <f>IF(AQ105="1",BH105,0)</f>
        <v>0</v>
      </c>
      <c r="AC105" s="24">
        <f>IF(AQ105="1",BI105,0)</f>
        <v>0</v>
      </c>
      <c r="AD105" s="24">
        <f>IF(AQ105="7",BH105,0)</f>
        <v>0</v>
      </c>
      <c r="AE105" s="24">
        <f>IF(AQ105="7",BI105,0)</f>
        <v>0</v>
      </c>
      <c r="AF105" s="24">
        <f>IF(AQ105="2",BH105,0)</f>
        <v>0</v>
      </c>
      <c r="AG105" s="24">
        <f>IF(AQ105="2",BI105,0)</f>
        <v>0</v>
      </c>
      <c r="AH105" s="24">
        <f>IF(AQ105="0",BJ105,0)</f>
        <v>0</v>
      </c>
      <c r="AI105" s="10" t="s">
        <v>51</v>
      </c>
      <c r="AJ105" s="24">
        <f>IF(AN105=0,J105,0)</f>
        <v>0</v>
      </c>
      <c r="AK105" s="24">
        <f>IF(AN105=12,J105,0)</f>
        <v>0</v>
      </c>
      <c r="AL105" s="24">
        <f>IF(AN105=21,J105,0)</f>
        <v>0</v>
      </c>
      <c r="AN105" s="24">
        <v>21</v>
      </c>
      <c r="AO105" s="24">
        <f>G105*0.6</f>
        <v>0</v>
      </c>
      <c r="AP105" s="24">
        <f>G105*(1-0.6)</f>
        <v>0</v>
      </c>
      <c r="AQ105" s="26" t="s">
        <v>54</v>
      </c>
      <c r="AV105" s="24">
        <f>AW105+AX105</f>
        <v>0</v>
      </c>
      <c r="AW105" s="24">
        <f>F105*AO105</f>
        <v>0</v>
      </c>
      <c r="AX105" s="24">
        <f>F105*AP105</f>
        <v>0</v>
      </c>
      <c r="AY105" s="26" t="s">
        <v>218</v>
      </c>
      <c r="AZ105" s="26" t="s">
        <v>73</v>
      </c>
      <c r="BA105" s="10" t="s">
        <v>59</v>
      </c>
      <c r="BC105" s="24">
        <f>AW105+AX105</f>
        <v>0</v>
      </c>
      <c r="BD105" s="24">
        <f>G105/(100-BE105)*100</f>
        <v>0</v>
      </c>
      <c r="BE105" s="24">
        <v>0</v>
      </c>
      <c r="BF105" s="24">
        <f>105</f>
        <v>105</v>
      </c>
      <c r="BH105" s="24">
        <f>F105*AO105</f>
        <v>0</v>
      </c>
      <c r="BI105" s="24">
        <f>F105*AP105</f>
        <v>0</v>
      </c>
      <c r="BJ105" s="24">
        <f>F105*G105</f>
        <v>0</v>
      </c>
      <c r="BK105" s="24"/>
      <c r="BL105" s="24">
        <v>18</v>
      </c>
      <c r="BW105" s="24">
        <v>21</v>
      </c>
      <c r="BX105" s="4" t="s">
        <v>217</v>
      </c>
    </row>
    <row r="106" spans="1:76">
      <c r="A106" s="27"/>
      <c r="C106" s="28" t="s">
        <v>219</v>
      </c>
      <c r="D106" s="28" t="s">
        <v>51</v>
      </c>
      <c r="F106" s="29">
        <v>4</v>
      </c>
      <c r="K106" s="30"/>
    </row>
    <row r="107" spans="1:76">
      <c r="A107" s="27"/>
      <c r="C107" s="28" t="s">
        <v>220</v>
      </c>
      <c r="D107" s="28" t="s">
        <v>51</v>
      </c>
      <c r="F107" s="29">
        <v>0</v>
      </c>
      <c r="K107" s="30"/>
    </row>
    <row r="108" spans="1:76">
      <c r="A108" s="27"/>
      <c r="C108" s="28" t="s">
        <v>221</v>
      </c>
      <c r="D108" s="28" t="s">
        <v>51</v>
      </c>
      <c r="F108" s="29">
        <v>0</v>
      </c>
      <c r="K108" s="30"/>
    </row>
    <row r="109" spans="1:76">
      <c r="A109" s="27"/>
      <c r="C109" s="28" t="s">
        <v>222</v>
      </c>
      <c r="D109" s="28" t="s">
        <v>51</v>
      </c>
      <c r="F109" s="29">
        <v>0</v>
      </c>
      <c r="K109" s="30"/>
    </row>
    <row r="110" spans="1:76">
      <c r="A110" s="27"/>
      <c r="C110" s="28" t="s">
        <v>223</v>
      </c>
      <c r="D110" s="28" t="s">
        <v>51</v>
      </c>
      <c r="F110" s="29">
        <v>0</v>
      </c>
      <c r="K110" s="30"/>
    </row>
    <row r="111" spans="1:76">
      <c r="A111" s="27"/>
      <c r="C111" s="28" t="s">
        <v>224</v>
      </c>
      <c r="D111" s="28" t="s">
        <v>51</v>
      </c>
      <c r="F111" s="29">
        <v>0</v>
      </c>
      <c r="K111" s="30"/>
    </row>
    <row r="112" spans="1:76">
      <c r="A112" s="27"/>
      <c r="C112" s="28" t="s">
        <v>225</v>
      </c>
      <c r="D112" s="28" t="s">
        <v>51</v>
      </c>
      <c r="F112" s="29">
        <v>0</v>
      </c>
      <c r="K112" s="30"/>
    </row>
    <row r="113" spans="1:76">
      <c r="A113" s="27"/>
      <c r="C113" s="28" t="s">
        <v>226</v>
      </c>
      <c r="D113" s="28" t="s">
        <v>51</v>
      </c>
      <c r="F113" s="29">
        <v>0</v>
      </c>
      <c r="K113" s="30"/>
    </row>
    <row r="114" spans="1:76">
      <c r="A114" s="27"/>
      <c r="C114" s="28" t="s">
        <v>227</v>
      </c>
      <c r="D114" s="28" t="s">
        <v>51</v>
      </c>
      <c r="F114" s="29">
        <v>0</v>
      </c>
      <c r="K114" s="30"/>
    </row>
    <row r="115" spans="1:76">
      <c r="A115" s="27"/>
      <c r="C115" s="28" t="s">
        <v>228</v>
      </c>
      <c r="D115" s="28" t="s">
        <v>51</v>
      </c>
      <c r="F115" s="29">
        <v>0</v>
      </c>
      <c r="K115" s="30"/>
    </row>
    <row r="116" spans="1:76">
      <c r="A116" s="27"/>
      <c r="C116" s="28" t="s">
        <v>229</v>
      </c>
      <c r="D116" s="28" t="s">
        <v>51</v>
      </c>
      <c r="F116" s="29">
        <v>0</v>
      </c>
      <c r="K116" s="30"/>
    </row>
    <row r="117" spans="1:76">
      <c r="A117" s="27"/>
      <c r="C117" s="28" t="s">
        <v>230</v>
      </c>
      <c r="D117" s="28" t="s">
        <v>51</v>
      </c>
      <c r="F117" s="29">
        <v>0</v>
      </c>
      <c r="K117" s="30"/>
    </row>
    <row r="118" spans="1:76">
      <c r="A118" s="27"/>
      <c r="C118" s="28" t="s">
        <v>231</v>
      </c>
      <c r="D118" s="28" t="s">
        <v>51</v>
      </c>
      <c r="F118" s="29">
        <v>0</v>
      </c>
      <c r="K118" s="30"/>
    </row>
    <row r="119" spans="1:76">
      <c r="A119" s="27"/>
      <c r="C119" s="28" t="s">
        <v>232</v>
      </c>
      <c r="D119" s="28" t="s">
        <v>51</v>
      </c>
      <c r="F119" s="29">
        <v>0</v>
      </c>
      <c r="K119" s="30"/>
    </row>
    <row r="120" spans="1:76">
      <c r="A120" s="27"/>
      <c r="C120" s="28" t="s">
        <v>233</v>
      </c>
      <c r="D120" s="28" t="s">
        <v>51</v>
      </c>
      <c r="F120" s="29">
        <v>0</v>
      </c>
      <c r="K120" s="30"/>
    </row>
    <row r="121" spans="1:76">
      <c r="A121" s="27"/>
      <c r="C121" s="28" t="s">
        <v>234</v>
      </c>
      <c r="D121" s="28" t="s">
        <v>51</v>
      </c>
      <c r="F121" s="29">
        <v>0</v>
      </c>
      <c r="K121" s="30"/>
    </row>
    <row r="122" spans="1:76">
      <c r="A122" s="27"/>
      <c r="C122" s="28" t="s">
        <v>235</v>
      </c>
      <c r="D122" s="28" t="s">
        <v>51</v>
      </c>
      <c r="F122" s="29">
        <v>0</v>
      </c>
      <c r="K122" s="30"/>
    </row>
    <row r="123" spans="1:76">
      <c r="A123" s="27"/>
      <c r="C123" s="28" t="s">
        <v>236</v>
      </c>
      <c r="D123" s="28" t="s">
        <v>51</v>
      </c>
      <c r="F123" s="29">
        <v>0</v>
      </c>
      <c r="K123" s="30"/>
    </row>
    <row r="124" spans="1:76">
      <c r="A124" s="31" t="s">
        <v>51</v>
      </c>
      <c r="B124" s="32" t="s">
        <v>148</v>
      </c>
      <c r="C124" s="88" t="s">
        <v>237</v>
      </c>
      <c r="D124" s="89"/>
      <c r="E124" s="33" t="s">
        <v>4</v>
      </c>
      <c r="F124" s="33" t="s">
        <v>4</v>
      </c>
      <c r="G124" s="33" t="s">
        <v>4</v>
      </c>
      <c r="H124" s="1">
        <f>SUM(H125:H125)</f>
        <v>0</v>
      </c>
      <c r="I124" s="1">
        <f>SUM(I125:I125)</f>
        <v>0</v>
      </c>
      <c r="J124" s="1">
        <f>SUM(J125:J125)</f>
        <v>0</v>
      </c>
      <c r="K124" s="34" t="s">
        <v>51</v>
      </c>
      <c r="AI124" s="10" t="s">
        <v>51</v>
      </c>
      <c r="AS124" s="1">
        <f>SUM(AJ125:AJ125)</f>
        <v>0</v>
      </c>
      <c r="AT124" s="1">
        <f>SUM(AK125:AK125)</f>
        <v>0</v>
      </c>
      <c r="AU124" s="1">
        <f>SUM(AL125:AL125)</f>
        <v>0</v>
      </c>
    </row>
    <row r="125" spans="1:76">
      <c r="A125" s="2" t="s">
        <v>238</v>
      </c>
      <c r="B125" s="3" t="s">
        <v>239</v>
      </c>
      <c r="C125" s="72" t="s">
        <v>240</v>
      </c>
      <c r="D125" s="67"/>
      <c r="E125" s="3" t="s">
        <v>91</v>
      </c>
      <c r="F125" s="24">
        <v>12.411</v>
      </c>
      <c r="G125" s="24">
        <v>0</v>
      </c>
      <c r="H125" s="24">
        <f>F125*AO125</f>
        <v>0</v>
      </c>
      <c r="I125" s="24">
        <f>F125*AP125</f>
        <v>0</v>
      </c>
      <c r="J125" s="24">
        <f>F125*G125</f>
        <v>0</v>
      </c>
      <c r="K125" s="25" t="s">
        <v>71</v>
      </c>
      <c r="Z125" s="24">
        <f>IF(AQ125="5",BJ125,0)</f>
        <v>0</v>
      </c>
      <c r="AB125" s="24">
        <f>IF(AQ125="1",BH125,0)</f>
        <v>0</v>
      </c>
      <c r="AC125" s="24">
        <f>IF(AQ125="1",BI125,0)</f>
        <v>0</v>
      </c>
      <c r="AD125" s="24">
        <f>IF(AQ125="7",BH125,0)</f>
        <v>0</v>
      </c>
      <c r="AE125" s="24">
        <f>IF(AQ125="7",BI125,0)</f>
        <v>0</v>
      </c>
      <c r="AF125" s="24">
        <f>IF(AQ125="2",BH125,0)</f>
        <v>0</v>
      </c>
      <c r="AG125" s="24">
        <f>IF(AQ125="2",BI125,0)</f>
        <v>0</v>
      </c>
      <c r="AH125" s="24">
        <f>IF(AQ125="0",BJ125,0)</f>
        <v>0</v>
      </c>
      <c r="AI125" s="10" t="s">
        <v>51</v>
      </c>
      <c r="AJ125" s="24">
        <f>IF(AN125=0,J125,0)</f>
        <v>0</v>
      </c>
      <c r="AK125" s="24">
        <f>IF(AN125=12,J125,0)</f>
        <v>0</v>
      </c>
      <c r="AL125" s="24">
        <f>IF(AN125=21,J125,0)</f>
        <v>0</v>
      </c>
      <c r="AN125" s="24">
        <v>21</v>
      </c>
      <c r="AO125" s="24">
        <f>G125*0.563752896</f>
        <v>0</v>
      </c>
      <c r="AP125" s="24">
        <f>G125*(1-0.563752896)</f>
        <v>0</v>
      </c>
      <c r="AQ125" s="26" t="s">
        <v>54</v>
      </c>
      <c r="AV125" s="24">
        <f>AW125+AX125</f>
        <v>0</v>
      </c>
      <c r="AW125" s="24">
        <f>F125*AO125</f>
        <v>0</v>
      </c>
      <c r="AX125" s="24">
        <f>F125*AP125</f>
        <v>0</v>
      </c>
      <c r="AY125" s="26" t="s">
        <v>241</v>
      </c>
      <c r="AZ125" s="26" t="s">
        <v>242</v>
      </c>
      <c r="BA125" s="10" t="s">
        <v>59</v>
      </c>
      <c r="BC125" s="24">
        <f>AW125+AX125</f>
        <v>0</v>
      </c>
      <c r="BD125" s="24">
        <f>G125/(100-BE125)*100</f>
        <v>0</v>
      </c>
      <c r="BE125" s="24">
        <v>0</v>
      </c>
      <c r="BF125" s="24">
        <f>125</f>
        <v>125</v>
      </c>
      <c r="BH125" s="24">
        <f>F125*AO125</f>
        <v>0</v>
      </c>
      <c r="BI125" s="24">
        <f>F125*AP125</f>
        <v>0</v>
      </c>
      <c r="BJ125" s="24">
        <f>F125*G125</f>
        <v>0</v>
      </c>
      <c r="BK125" s="24"/>
      <c r="BL125" s="24">
        <v>21</v>
      </c>
      <c r="BW125" s="24">
        <v>21</v>
      </c>
      <c r="BX125" s="4" t="s">
        <v>240</v>
      </c>
    </row>
    <row r="126" spans="1:76">
      <c r="A126" s="27"/>
      <c r="C126" s="28" t="s">
        <v>243</v>
      </c>
      <c r="D126" s="28" t="s">
        <v>51</v>
      </c>
      <c r="F126" s="29">
        <v>12.411</v>
      </c>
      <c r="K126" s="30"/>
    </row>
    <row r="127" spans="1:76">
      <c r="A127" s="31" t="s">
        <v>51</v>
      </c>
      <c r="B127" s="32" t="s">
        <v>172</v>
      </c>
      <c r="C127" s="88" t="s">
        <v>244</v>
      </c>
      <c r="D127" s="89"/>
      <c r="E127" s="33" t="s">
        <v>4</v>
      </c>
      <c r="F127" s="33" t="s">
        <v>4</v>
      </c>
      <c r="G127" s="33" t="s">
        <v>4</v>
      </c>
      <c r="H127" s="1">
        <f>SUM(H128:H134)</f>
        <v>0</v>
      </c>
      <c r="I127" s="1">
        <f>SUM(I128:I134)</f>
        <v>0</v>
      </c>
      <c r="J127" s="1">
        <f>SUM(J128:J134)</f>
        <v>0</v>
      </c>
      <c r="K127" s="34" t="s">
        <v>51</v>
      </c>
      <c r="AI127" s="10" t="s">
        <v>51</v>
      </c>
      <c r="AS127" s="1">
        <f>SUM(AJ128:AJ134)</f>
        <v>0</v>
      </c>
      <c r="AT127" s="1">
        <f>SUM(AK128:AK134)</f>
        <v>0</v>
      </c>
      <c r="AU127" s="1">
        <f>SUM(AL128:AL134)</f>
        <v>0</v>
      </c>
    </row>
    <row r="128" spans="1:76">
      <c r="A128" s="2" t="s">
        <v>245</v>
      </c>
      <c r="B128" s="3" t="s">
        <v>246</v>
      </c>
      <c r="C128" s="72" t="s">
        <v>247</v>
      </c>
      <c r="D128" s="67"/>
      <c r="E128" s="3" t="s">
        <v>91</v>
      </c>
      <c r="F128" s="24">
        <v>1.8134999999999999</v>
      </c>
      <c r="G128" s="24">
        <v>0</v>
      </c>
      <c r="H128" s="24">
        <f>F128*AO128</f>
        <v>0</v>
      </c>
      <c r="I128" s="24">
        <f>F128*AP128</f>
        <v>0</v>
      </c>
      <c r="J128" s="24">
        <f>F128*G128</f>
        <v>0</v>
      </c>
      <c r="K128" s="25" t="s">
        <v>71</v>
      </c>
      <c r="Z128" s="24">
        <f>IF(AQ128="5",BJ128,0)</f>
        <v>0</v>
      </c>
      <c r="AB128" s="24">
        <f>IF(AQ128="1",BH128,0)</f>
        <v>0</v>
      </c>
      <c r="AC128" s="24">
        <f>IF(AQ128="1",BI128,0)</f>
        <v>0</v>
      </c>
      <c r="AD128" s="24">
        <f>IF(AQ128="7",BH128,0)</f>
        <v>0</v>
      </c>
      <c r="AE128" s="24">
        <f>IF(AQ128="7",BI128,0)</f>
        <v>0</v>
      </c>
      <c r="AF128" s="24">
        <f>IF(AQ128="2",BH128,0)</f>
        <v>0</v>
      </c>
      <c r="AG128" s="24">
        <f>IF(AQ128="2",BI128,0)</f>
        <v>0</v>
      </c>
      <c r="AH128" s="24">
        <f>IF(AQ128="0",BJ128,0)</f>
        <v>0</v>
      </c>
      <c r="AI128" s="10" t="s">
        <v>51</v>
      </c>
      <c r="AJ128" s="24">
        <f>IF(AN128=0,J128,0)</f>
        <v>0</v>
      </c>
      <c r="AK128" s="24">
        <f>IF(AN128=12,J128,0)</f>
        <v>0</v>
      </c>
      <c r="AL128" s="24">
        <f>IF(AN128=21,J128,0)</f>
        <v>0</v>
      </c>
      <c r="AN128" s="24">
        <v>21</v>
      </c>
      <c r="AO128" s="24">
        <f>G128*0.907505618</f>
        <v>0</v>
      </c>
      <c r="AP128" s="24">
        <f>G128*(1-0.907505618)</f>
        <v>0</v>
      </c>
      <c r="AQ128" s="26" t="s">
        <v>54</v>
      </c>
      <c r="AV128" s="24">
        <f>AW128+AX128</f>
        <v>0</v>
      </c>
      <c r="AW128" s="24">
        <f>F128*AO128</f>
        <v>0</v>
      </c>
      <c r="AX128" s="24">
        <f>F128*AP128</f>
        <v>0</v>
      </c>
      <c r="AY128" s="26" t="s">
        <v>248</v>
      </c>
      <c r="AZ128" s="26" t="s">
        <v>242</v>
      </c>
      <c r="BA128" s="10" t="s">
        <v>59</v>
      </c>
      <c r="BC128" s="24">
        <f>AW128+AX128</f>
        <v>0</v>
      </c>
      <c r="BD128" s="24">
        <f>G128/(100-BE128)*100</f>
        <v>0</v>
      </c>
      <c r="BE128" s="24">
        <v>0</v>
      </c>
      <c r="BF128" s="24">
        <f>128</f>
        <v>128</v>
      </c>
      <c r="BH128" s="24">
        <f>F128*AO128</f>
        <v>0</v>
      </c>
      <c r="BI128" s="24">
        <f>F128*AP128</f>
        <v>0</v>
      </c>
      <c r="BJ128" s="24">
        <f>F128*G128</f>
        <v>0</v>
      </c>
      <c r="BK128" s="24"/>
      <c r="BL128" s="24">
        <v>27</v>
      </c>
      <c r="BW128" s="24">
        <v>21</v>
      </c>
      <c r="BX128" s="4" t="s">
        <v>247</v>
      </c>
    </row>
    <row r="129" spans="1:76">
      <c r="A129" s="27"/>
      <c r="C129" s="28" t="s">
        <v>249</v>
      </c>
      <c r="D129" s="28" t="s">
        <v>51</v>
      </c>
      <c r="F129" s="29">
        <v>1.8134999999999999</v>
      </c>
      <c r="K129" s="30"/>
    </row>
    <row r="130" spans="1:76">
      <c r="A130" s="2" t="s">
        <v>250</v>
      </c>
      <c r="B130" s="3" t="s">
        <v>251</v>
      </c>
      <c r="C130" s="72" t="s">
        <v>252</v>
      </c>
      <c r="D130" s="67"/>
      <c r="E130" s="3" t="s">
        <v>81</v>
      </c>
      <c r="F130" s="24">
        <v>2.1</v>
      </c>
      <c r="G130" s="24">
        <v>0</v>
      </c>
      <c r="H130" s="24">
        <f>F130*AO130</f>
        <v>0</v>
      </c>
      <c r="I130" s="24">
        <f>F130*AP130</f>
        <v>0</v>
      </c>
      <c r="J130" s="24">
        <f>F130*G130</f>
        <v>0</v>
      </c>
      <c r="K130" s="25" t="s">
        <v>71</v>
      </c>
      <c r="Z130" s="24">
        <f>IF(AQ130="5",BJ130,0)</f>
        <v>0</v>
      </c>
      <c r="AB130" s="24">
        <f>IF(AQ130="1",BH130,0)</f>
        <v>0</v>
      </c>
      <c r="AC130" s="24">
        <f>IF(AQ130="1",BI130,0)</f>
        <v>0</v>
      </c>
      <c r="AD130" s="24">
        <f>IF(AQ130="7",BH130,0)</f>
        <v>0</v>
      </c>
      <c r="AE130" s="24">
        <f>IF(AQ130="7",BI130,0)</f>
        <v>0</v>
      </c>
      <c r="AF130" s="24">
        <f>IF(AQ130="2",BH130,0)</f>
        <v>0</v>
      </c>
      <c r="AG130" s="24">
        <f>IF(AQ130="2",BI130,0)</f>
        <v>0</v>
      </c>
      <c r="AH130" s="24">
        <f>IF(AQ130="0",BJ130,0)</f>
        <v>0</v>
      </c>
      <c r="AI130" s="10" t="s">
        <v>51</v>
      </c>
      <c r="AJ130" s="24">
        <f>IF(AN130=0,J130,0)</f>
        <v>0</v>
      </c>
      <c r="AK130" s="24">
        <f>IF(AN130=12,J130,0)</f>
        <v>0</v>
      </c>
      <c r="AL130" s="24">
        <f>IF(AN130=21,J130,0)</f>
        <v>0</v>
      </c>
      <c r="AN130" s="24">
        <v>21</v>
      </c>
      <c r="AO130" s="24">
        <f>G130*0.247665307</f>
        <v>0</v>
      </c>
      <c r="AP130" s="24">
        <f>G130*(1-0.247665307)</f>
        <v>0</v>
      </c>
      <c r="AQ130" s="26" t="s">
        <v>54</v>
      </c>
      <c r="AV130" s="24">
        <f>AW130+AX130</f>
        <v>0</v>
      </c>
      <c r="AW130" s="24">
        <f>F130*AO130</f>
        <v>0</v>
      </c>
      <c r="AX130" s="24">
        <f>F130*AP130</f>
        <v>0</v>
      </c>
      <c r="AY130" s="26" t="s">
        <v>248</v>
      </c>
      <c r="AZ130" s="26" t="s">
        <v>242</v>
      </c>
      <c r="BA130" s="10" t="s">
        <v>59</v>
      </c>
      <c r="BC130" s="24">
        <f>AW130+AX130</f>
        <v>0</v>
      </c>
      <c r="BD130" s="24">
        <f>G130/(100-BE130)*100</f>
        <v>0</v>
      </c>
      <c r="BE130" s="24">
        <v>0</v>
      </c>
      <c r="BF130" s="24">
        <f>130</f>
        <v>130</v>
      </c>
      <c r="BH130" s="24">
        <f>F130*AO130</f>
        <v>0</v>
      </c>
      <c r="BI130" s="24">
        <f>F130*AP130</f>
        <v>0</v>
      </c>
      <c r="BJ130" s="24">
        <f>F130*G130</f>
        <v>0</v>
      </c>
      <c r="BK130" s="24"/>
      <c r="BL130" s="24">
        <v>27</v>
      </c>
      <c r="BW130" s="24">
        <v>21</v>
      </c>
      <c r="BX130" s="4" t="s">
        <v>252</v>
      </c>
    </row>
    <row r="131" spans="1:76">
      <c r="A131" s="27"/>
      <c r="C131" s="28" t="s">
        <v>253</v>
      </c>
      <c r="D131" s="28" t="s">
        <v>51</v>
      </c>
      <c r="F131" s="29">
        <v>2.1</v>
      </c>
      <c r="K131" s="30"/>
    </row>
    <row r="132" spans="1:76">
      <c r="A132" s="2" t="s">
        <v>254</v>
      </c>
      <c r="B132" s="3" t="s">
        <v>255</v>
      </c>
      <c r="C132" s="72" t="s">
        <v>256</v>
      </c>
      <c r="D132" s="67"/>
      <c r="E132" s="3" t="s">
        <v>81</v>
      </c>
      <c r="F132" s="24">
        <v>2.1</v>
      </c>
      <c r="G132" s="24">
        <v>0</v>
      </c>
      <c r="H132" s="24">
        <f>F132*AO132</f>
        <v>0</v>
      </c>
      <c r="I132" s="24">
        <f>F132*AP132</f>
        <v>0</v>
      </c>
      <c r="J132" s="24">
        <f>F132*G132</f>
        <v>0</v>
      </c>
      <c r="K132" s="25" t="s">
        <v>71</v>
      </c>
      <c r="Z132" s="24">
        <f>IF(AQ132="5",BJ132,0)</f>
        <v>0</v>
      </c>
      <c r="AB132" s="24">
        <f>IF(AQ132="1",BH132,0)</f>
        <v>0</v>
      </c>
      <c r="AC132" s="24">
        <f>IF(AQ132="1",BI132,0)</f>
        <v>0</v>
      </c>
      <c r="AD132" s="24">
        <f>IF(AQ132="7",BH132,0)</f>
        <v>0</v>
      </c>
      <c r="AE132" s="24">
        <f>IF(AQ132="7",BI132,0)</f>
        <v>0</v>
      </c>
      <c r="AF132" s="24">
        <f>IF(AQ132="2",BH132,0)</f>
        <v>0</v>
      </c>
      <c r="AG132" s="24">
        <f>IF(AQ132="2",BI132,0)</f>
        <v>0</v>
      </c>
      <c r="AH132" s="24">
        <f>IF(AQ132="0",BJ132,0)</f>
        <v>0</v>
      </c>
      <c r="AI132" s="10" t="s">
        <v>51</v>
      </c>
      <c r="AJ132" s="24">
        <f>IF(AN132=0,J132,0)</f>
        <v>0</v>
      </c>
      <c r="AK132" s="24">
        <f>IF(AN132=12,J132,0)</f>
        <v>0</v>
      </c>
      <c r="AL132" s="24">
        <f>IF(AN132=21,J132,0)</f>
        <v>0</v>
      </c>
      <c r="AN132" s="24">
        <v>21</v>
      </c>
      <c r="AO132" s="24">
        <f>G132*0</f>
        <v>0</v>
      </c>
      <c r="AP132" s="24">
        <f>G132*(1-0)</f>
        <v>0</v>
      </c>
      <c r="AQ132" s="26" t="s">
        <v>54</v>
      </c>
      <c r="AV132" s="24">
        <f>AW132+AX132</f>
        <v>0</v>
      </c>
      <c r="AW132" s="24">
        <f>F132*AO132</f>
        <v>0</v>
      </c>
      <c r="AX132" s="24">
        <f>F132*AP132</f>
        <v>0</v>
      </c>
      <c r="AY132" s="26" t="s">
        <v>248</v>
      </c>
      <c r="AZ132" s="26" t="s">
        <v>242</v>
      </c>
      <c r="BA132" s="10" t="s">
        <v>59</v>
      </c>
      <c r="BC132" s="24">
        <f>AW132+AX132</f>
        <v>0</v>
      </c>
      <c r="BD132" s="24">
        <f>G132/(100-BE132)*100</f>
        <v>0</v>
      </c>
      <c r="BE132" s="24">
        <v>0</v>
      </c>
      <c r="BF132" s="24">
        <f>132</f>
        <v>132</v>
      </c>
      <c r="BH132" s="24">
        <f>F132*AO132</f>
        <v>0</v>
      </c>
      <c r="BI132" s="24">
        <f>F132*AP132</f>
        <v>0</v>
      </c>
      <c r="BJ132" s="24">
        <f>F132*G132</f>
        <v>0</v>
      </c>
      <c r="BK132" s="24"/>
      <c r="BL132" s="24">
        <v>27</v>
      </c>
      <c r="BW132" s="24">
        <v>21</v>
      </c>
      <c r="BX132" s="4" t="s">
        <v>256</v>
      </c>
    </row>
    <row r="133" spans="1:76">
      <c r="A133" s="27"/>
      <c r="C133" s="28" t="s">
        <v>257</v>
      </c>
      <c r="D133" s="28" t="s">
        <v>51</v>
      </c>
      <c r="F133" s="29">
        <v>2.1</v>
      </c>
      <c r="K133" s="30"/>
    </row>
    <row r="134" spans="1:76">
      <c r="A134" s="2" t="s">
        <v>258</v>
      </c>
      <c r="B134" s="3" t="s">
        <v>259</v>
      </c>
      <c r="C134" s="72" t="s">
        <v>260</v>
      </c>
      <c r="D134" s="67"/>
      <c r="E134" s="3" t="s">
        <v>261</v>
      </c>
      <c r="F134" s="24">
        <v>9.672E-2</v>
      </c>
      <c r="G134" s="24">
        <v>0</v>
      </c>
      <c r="H134" s="24">
        <f>F134*AO134</f>
        <v>0</v>
      </c>
      <c r="I134" s="24">
        <f>F134*AP134</f>
        <v>0</v>
      </c>
      <c r="J134" s="24">
        <f>F134*G134</f>
        <v>0</v>
      </c>
      <c r="K134" s="25" t="s">
        <v>71</v>
      </c>
      <c r="Z134" s="24">
        <f>IF(AQ134="5",BJ134,0)</f>
        <v>0</v>
      </c>
      <c r="AB134" s="24">
        <f>IF(AQ134="1",BH134,0)</f>
        <v>0</v>
      </c>
      <c r="AC134" s="24">
        <f>IF(AQ134="1",BI134,0)</f>
        <v>0</v>
      </c>
      <c r="AD134" s="24">
        <f>IF(AQ134="7",BH134,0)</f>
        <v>0</v>
      </c>
      <c r="AE134" s="24">
        <f>IF(AQ134="7",BI134,0)</f>
        <v>0</v>
      </c>
      <c r="AF134" s="24">
        <f>IF(AQ134="2",BH134,0)</f>
        <v>0</v>
      </c>
      <c r="AG134" s="24">
        <f>IF(AQ134="2",BI134,0)</f>
        <v>0</v>
      </c>
      <c r="AH134" s="24">
        <f>IF(AQ134="0",BJ134,0)</f>
        <v>0</v>
      </c>
      <c r="AI134" s="10" t="s">
        <v>51</v>
      </c>
      <c r="AJ134" s="24">
        <f>IF(AN134=0,J134,0)</f>
        <v>0</v>
      </c>
      <c r="AK134" s="24">
        <f>IF(AN134=12,J134,0)</f>
        <v>0</v>
      </c>
      <c r="AL134" s="24">
        <f>IF(AN134=21,J134,0)</f>
        <v>0</v>
      </c>
      <c r="AN134" s="24">
        <v>21</v>
      </c>
      <c r="AO134" s="24">
        <f>G134*0.779307157</f>
        <v>0</v>
      </c>
      <c r="AP134" s="24">
        <f>G134*(1-0.779307157)</f>
        <v>0</v>
      </c>
      <c r="AQ134" s="26" t="s">
        <v>54</v>
      </c>
      <c r="AV134" s="24">
        <f>AW134+AX134</f>
        <v>0</v>
      </c>
      <c r="AW134" s="24">
        <f>F134*AO134</f>
        <v>0</v>
      </c>
      <c r="AX134" s="24">
        <f>F134*AP134</f>
        <v>0</v>
      </c>
      <c r="AY134" s="26" t="s">
        <v>248</v>
      </c>
      <c r="AZ134" s="26" t="s">
        <v>242</v>
      </c>
      <c r="BA134" s="10" t="s">
        <v>59</v>
      </c>
      <c r="BC134" s="24">
        <f>AW134+AX134</f>
        <v>0</v>
      </c>
      <c r="BD134" s="24">
        <f>G134/(100-BE134)*100</f>
        <v>0</v>
      </c>
      <c r="BE134" s="24">
        <v>0</v>
      </c>
      <c r="BF134" s="24">
        <f>134</f>
        <v>134</v>
      </c>
      <c r="BH134" s="24">
        <f>F134*AO134</f>
        <v>0</v>
      </c>
      <c r="BI134" s="24">
        <f>F134*AP134</f>
        <v>0</v>
      </c>
      <c r="BJ134" s="24">
        <f>F134*G134</f>
        <v>0</v>
      </c>
      <c r="BK134" s="24"/>
      <c r="BL134" s="24">
        <v>27</v>
      </c>
      <c r="BW134" s="24">
        <v>21</v>
      </c>
      <c r="BX134" s="4" t="s">
        <v>260</v>
      </c>
    </row>
    <row r="135" spans="1:76">
      <c r="A135" s="27"/>
      <c r="C135" s="28" t="s">
        <v>262</v>
      </c>
      <c r="D135" s="28" t="s">
        <v>51</v>
      </c>
      <c r="F135" s="29">
        <v>9.672E-2</v>
      </c>
      <c r="K135" s="30"/>
    </row>
    <row r="136" spans="1:76">
      <c r="A136" s="31" t="s">
        <v>51</v>
      </c>
      <c r="B136" s="32" t="s">
        <v>263</v>
      </c>
      <c r="C136" s="88" t="s">
        <v>264</v>
      </c>
      <c r="D136" s="89"/>
      <c r="E136" s="33" t="s">
        <v>4</v>
      </c>
      <c r="F136" s="33" t="s">
        <v>4</v>
      </c>
      <c r="G136" s="33" t="s">
        <v>4</v>
      </c>
      <c r="H136" s="1">
        <f>SUM(H137:H139)</f>
        <v>0</v>
      </c>
      <c r="I136" s="1">
        <f>SUM(I137:I139)</f>
        <v>0</v>
      </c>
      <c r="J136" s="1">
        <f>SUM(J137:J139)</f>
        <v>0</v>
      </c>
      <c r="K136" s="34" t="s">
        <v>51</v>
      </c>
      <c r="AI136" s="10" t="s">
        <v>51</v>
      </c>
      <c r="AS136" s="1">
        <f>SUM(AJ137:AJ139)</f>
        <v>0</v>
      </c>
      <c r="AT136" s="1">
        <f>SUM(AK137:AK139)</f>
        <v>0</v>
      </c>
      <c r="AU136" s="1">
        <f>SUM(AL137:AL139)</f>
        <v>0</v>
      </c>
    </row>
    <row r="137" spans="1:76">
      <c r="A137" s="2" t="s">
        <v>265</v>
      </c>
      <c r="B137" s="3" t="s">
        <v>266</v>
      </c>
      <c r="C137" s="72" t="s">
        <v>267</v>
      </c>
      <c r="D137" s="67"/>
      <c r="E137" s="3" t="s">
        <v>122</v>
      </c>
      <c r="F137" s="24">
        <v>1</v>
      </c>
      <c r="G137" s="24">
        <v>0</v>
      </c>
      <c r="H137" s="24">
        <f>F137*AO137</f>
        <v>0</v>
      </c>
      <c r="I137" s="24">
        <f>F137*AP137</f>
        <v>0</v>
      </c>
      <c r="J137" s="24">
        <f>F137*G137</f>
        <v>0</v>
      </c>
      <c r="K137" s="25" t="s">
        <v>51</v>
      </c>
      <c r="Z137" s="24">
        <f>IF(AQ137="5",BJ137,0)</f>
        <v>0</v>
      </c>
      <c r="AB137" s="24">
        <f>IF(AQ137="1",BH137,0)</f>
        <v>0</v>
      </c>
      <c r="AC137" s="24">
        <f>IF(AQ137="1",BI137,0)</f>
        <v>0</v>
      </c>
      <c r="AD137" s="24">
        <f>IF(AQ137="7",BH137,0)</f>
        <v>0</v>
      </c>
      <c r="AE137" s="24">
        <f>IF(AQ137="7",BI137,0)</f>
        <v>0</v>
      </c>
      <c r="AF137" s="24">
        <f>IF(AQ137="2",BH137,0)</f>
        <v>0</v>
      </c>
      <c r="AG137" s="24">
        <f>IF(AQ137="2",BI137,0)</f>
        <v>0</v>
      </c>
      <c r="AH137" s="24">
        <f>IF(AQ137="0",BJ137,0)</f>
        <v>0</v>
      </c>
      <c r="AI137" s="10" t="s">
        <v>51</v>
      </c>
      <c r="AJ137" s="24">
        <f>IF(AN137=0,J137,0)</f>
        <v>0</v>
      </c>
      <c r="AK137" s="24">
        <f>IF(AN137=12,J137,0)</f>
        <v>0</v>
      </c>
      <c r="AL137" s="24">
        <f>IF(AN137=21,J137,0)</f>
        <v>0</v>
      </c>
      <c r="AN137" s="24">
        <v>21</v>
      </c>
      <c r="AO137" s="24">
        <f>G137*0.333333333</f>
        <v>0</v>
      </c>
      <c r="AP137" s="24">
        <f>G137*(1-0.333333333)</f>
        <v>0</v>
      </c>
      <c r="AQ137" s="26" t="s">
        <v>54</v>
      </c>
      <c r="AV137" s="24">
        <f>AW137+AX137</f>
        <v>0</v>
      </c>
      <c r="AW137" s="24">
        <f>F137*AO137</f>
        <v>0</v>
      </c>
      <c r="AX137" s="24">
        <f>F137*AP137</f>
        <v>0</v>
      </c>
      <c r="AY137" s="26" t="s">
        <v>268</v>
      </c>
      <c r="AZ137" s="26" t="s">
        <v>269</v>
      </c>
      <c r="BA137" s="10" t="s">
        <v>59</v>
      </c>
      <c r="BC137" s="24">
        <f>AW137+AX137</f>
        <v>0</v>
      </c>
      <c r="BD137" s="24">
        <f>G137/(100-BE137)*100</f>
        <v>0</v>
      </c>
      <c r="BE137" s="24">
        <v>0</v>
      </c>
      <c r="BF137" s="24">
        <f>137</f>
        <v>137</v>
      </c>
      <c r="BH137" s="24">
        <f>F137*AO137</f>
        <v>0</v>
      </c>
      <c r="BI137" s="24">
        <f>F137*AP137</f>
        <v>0</v>
      </c>
      <c r="BJ137" s="24">
        <f>F137*G137</f>
        <v>0</v>
      </c>
      <c r="BK137" s="24"/>
      <c r="BL137" s="24">
        <v>343</v>
      </c>
      <c r="BW137" s="24">
        <v>21</v>
      </c>
      <c r="BX137" s="4" t="s">
        <v>267</v>
      </c>
    </row>
    <row r="138" spans="1:76">
      <c r="A138" s="27"/>
      <c r="C138" s="28" t="s">
        <v>270</v>
      </c>
      <c r="D138" s="28" t="s">
        <v>51</v>
      </c>
      <c r="F138" s="29">
        <v>1</v>
      </c>
      <c r="K138" s="30"/>
    </row>
    <row r="139" spans="1:76">
      <c r="A139" s="2" t="s">
        <v>271</v>
      </c>
      <c r="B139" s="3" t="s">
        <v>272</v>
      </c>
      <c r="C139" s="72" t="s">
        <v>273</v>
      </c>
      <c r="D139" s="67"/>
      <c r="E139" s="3" t="s">
        <v>122</v>
      </c>
      <c r="F139" s="24">
        <v>3</v>
      </c>
      <c r="G139" s="24">
        <v>0</v>
      </c>
      <c r="H139" s="24">
        <f>F139*AO139</f>
        <v>0</v>
      </c>
      <c r="I139" s="24">
        <f>F139*AP139</f>
        <v>0</v>
      </c>
      <c r="J139" s="24">
        <f>F139*G139</f>
        <v>0</v>
      </c>
      <c r="K139" s="25" t="s">
        <v>51</v>
      </c>
      <c r="Z139" s="24">
        <f>IF(AQ139="5",BJ139,0)</f>
        <v>0</v>
      </c>
      <c r="AB139" s="24">
        <f>IF(AQ139="1",BH139,0)</f>
        <v>0</v>
      </c>
      <c r="AC139" s="24">
        <f>IF(AQ139="1",BI139,0)</f>
        <v>0</v>
      </c>
      <c r="AD139" s="24">
        <f>IF(AQ139="7",BH139,0)</f>
        <v>0</v>
      </c>
      <c r="AE139" s="24">
        <f>IF(AQ139="7",BI139,0)</f>
        <v>0</v>
      </c>
      <c r="AF139" s="24">
        <f>IF(AQ139="2",BH139,0)</f>
        <v>0</v>
      </c>
      <c r="AG139" s="24">
        <f>IF(AQ139="2",BI139,0)</f>
        <v>0</v>
      </c>
      <c r="AH139" s="24">
        <f>IF(AQ139="0",BJ139,0)</f>
        <v>0</v>
      </c>
      <c r="AI139" s="10" t="s">
        <v>51</v>
      </c>
      <c r="AJ139" s="24">
        <f>IF(AN139=0,J139,0)</f>
        <v>0</v>
      </c>
      <c r="AK139" s="24">
        <f>IF(AN139=12,J139,0)</f>
        <v>0</v>
      </c>
      <c r="AL139" s="24">
        <f>IF(AN139=21,J139,0)</f>
        <v>0</v>
      </c>
      <c r="AN139" s="24">
        <v>21</v>
      </c>
      <c r="AO139" s="24">
        <f>G139*0.666666667</f>
        <v>0</v>
      </c>
      <c r="AP139" s="24">
        <f>G139*(1-0.666666667)</f>
        <v>0</v>
      </c>
      <c r="AQ139" s="26" t="s">
        <v>54</v>
      </c>
      <c r="AV139" s="24">
        <f>AW139+AX139</f>
        <v>0</v>
      </c>
      <c r="AW139" s="24">
        <f>F139*AO139</f>
        <v>0</v>
      </c>
      <c r="AX139" s="24">
        <f>F139*AP139</f>
        <v>0</v>
      </c>
      <c r="AY139" s="26" t="s">
        <v>268</v>
      </c>
      <c r="AZ139" s="26" t="s">
        <v>269</v>
      </c>
      <c r="BA139" s="10" t="s">
        <v>59</v>
      </c>
      <c r="BC139" s="24">
        <f>AW139+AX139</f>
        <v>0</v>
      </c>
      <c r="BD139" s="24">
        <f>G139/(100-BE139)*100</f>
        <v>0</v>
      </c>
      <c r="BE139" s="24">
        <v>0</v>
      </c>
      <c r="BF139" s="24">
        <f>139</f>
        <v>139</v>
      </c>
      <c r="BH139" s="24">
        <f>F139*AO139</f>
        <v>0</v>
      </c>
      <c r="BI139" s="24">
        <f>F139*AP139</f>
        <v>0</v>
      </c>
      <c r="BJ139" s="24">
        <f>F139*G139</f>
        <v>0</v>
      </c>
      <c r="BK139" s="24"/>
      <c r="BL139" s="24">
        <v>343</v>
      </c>
      <c r="BW139" s="24">
        <v>21</v>
      </c>
      <c r="BX139" s="4" t="s">
        <v>273</v>
      </c>
    </row>
    <row r="140" spans="1:76">
      <c r="A140" s="27"/>
      <c r="C140" s="28" t="s">
        <v>274</v>
      </c>
      <c r="D140" s="28" t="s">
        <v>51</v>
      </c>
      <c r="F140" s="29">
        <v>3</v>
      </c>
      <c r="K140" s="30"/>
    </row>
    <row r="141" spans="1:76">
      <c r="A141" s="31" t="s">
        <v>51</v>
      </c>
      <c r="B141" s="32" t="s">
        <v>275</v>
      </c>
      <c r="C141" s="88" t="s">
        <v>276</v>
      </c>
      <c r="D141" s="89"/>
      <c r="E141" s="33" t="s">
        <v>4</v>
      </c>
      <c r="F141" s="33" t="s">
        <v>4</v>
      </c>
      <c r="G141" s="33" t="s">
        <v>4</v>
      </c>
      <c r="H141" s="1">
        <f>SUM(H142:H144)</f>
        <v>0</v>
      </c>
      <c r="I141" s="1">
        <f>SUM(I142:I144)</f>
        <v>0</v>
      </c>
      <c r="J141" s="1">
        <f>SUM(J142:J144)</f>
        <v>0</v>
      </c>
      <c r="K141" s="34" t="s">
        <v>51</v>
      </c>
      <c r="AI141" s="10" t="s">
        <v>51</v>
      </c>
      <c r="AS141" s="1">
        <f>SUM(AJ142:AJ144)</f>
        <v>0</v>
      </c>
      <c r="AT141" s="1">
        <f>SUM(AK142:AK144)</f>
        <v>0</v>
      </c>
      <c r="AU141" s="1">
        <f>SUM(AL142:AL144)</f>
        <v>0</v>
      </c>
    </row>
    <row r="142" spans="1:76">
      <c r="A142" s="2" t="s">
        <v>277</v>
      </c>
      <c r="B142" s="3" t="s">
        <v>278</v>
      </c>
      <c r="C142" s="72" t="s">
        <v>279</v>
      </c>
      <c r="D142" s="67"/>
      <c r="E142" s="3" t="s">
        <v>91</v>
      </c>
      <c r="F142" s="24">
        <v>20.684999999999999</v>
      </c>
      <c r="G142" s="24">
        <v>0</v>
      </c>
      <c r="H142" s="24">
        <f>F142*AO142</f>
        <v>0</v>
      </c>
      <c r="I142" s="24">
        <f>F142*AP142</f>
        <v>0</v>
      </c>
      <c r="J142" s="24">
        <f>F142*G142</f>
        <v>0</v>
      </c>
      <c r="K142" s="25" t="s">
        <v>71</v>
      </c>
      <c r="Z142" s="24">
        <f>IF(AQ142="5",BJ142,0)</f>
        <v>0</v>
      </c>
      <c r="AB142" s="24">
        <f>IF(AQ142="1",BH142,0)</f>
        <v>0</v>
      </c>
      <c r="AC142" s="24">
        <f>IF(AQ142="1",BI142,0)</f>
        <v>0</v>
      </c>
      <c r="AD142" s="24">
        <f>IF(AQ142="7",BH142,0)</f>
        <v>0</v>
      </c>
      <c r="AE142" s="24">
        <f>IF(AQ142="7",BI142,0)</f>
        <v>0</v>
      </c>
      <c r="AF142" s="24">
        <f>IF(AQ142="2",BH142,0)</f>
        <v>0</v>
      </c>
      <c r="AG142" s="24">
        <f>IF(AQ142="2",BI142,0)</f>
        <v>0</v>
      </c>
      <c r="AH142" s="24">
        <f>IF(AQ142="0",BJ142,0)</f>
        <v>0</v>
      </c>
      <c r="AI142" s="10" t="s">
        <v>51</v>
      </c>
      <c r="AJ142" s="24">
        <f>IF(AN142=0,J142,0)</f>
        <v>0</v>
      </c>
      <c r="AK142" s="24">
        <f>IF(AN142=12,J142,0)</f>
        <v>0</v>
      </c>
      <c r="AL142" s="24">
        <f>IF(AN142=21,J142,0)</f>
        <v>0</v>
      </c>
      <c r="AN142" s="24">
        <v>21</v>
      </c>
      <c r="AO142" s="24">
        <f>G142*0.483679375</f>
        <v>0</v>
      </c>
      <c r="AP142" s="24">
        <f>G142*(1-0.483679375)</f>
        <v>0</v>
      </c>
      <c r="AQ142" s="26" t="s">
        <v>54</v>
      </c>
      <c r="AV142" s="24">
        <f>AW142+AX142</f>
        <v>0</v>
      </c>
      <c r="AW142" s="24">
        <f>F142*AO142</f>
        <v>0</v>
      </c>
      <c r="AX142" s="24">
        <f>F142*AP142</f>
        <v>0</v>
      </c>
      <c r="AY142" s="26" t="s">
        <v>280</v>
      </c>
      <c r="AZ142" s="26" t="s">
        <v>281</v>
      </c>
      <c r="BA142" s="10" t="s">
        <v>59</v>
      </c>
      <c r="BC142" s="24">
        <f>AW142+AX142</f>
        <v>0</v>
      </c>
      <c r="BD142" s="24">
        <f>G142/(100-BE142)*100</f>
        <v>0</v>
      </c>
      <c r="BE142" s="24">
        <v>0</v>
      </c>
      <c r="BF142" s="24">
        <f>142</f>
        <v>142</v>
      </c>
      <c r="BH142" s="24">
        <f>F142*AO142</f>
        <v>0</v>
      </c>
      <c r="BI142" s="24">
        <f>F142*AP142</f>
        <v>0</v>
      </c>
      <c r="BJ142" s="24">
        <f>F142*G142</f>
        <v>0</v>
      </c>
      <c r="BK142" s="24"/>
      <c r="BL142" s="24">
        <v>45</v>
      </c>
      <c r="BW142" s="24">
        <v>21</v>
      </c>
      <c r="BX142" s="4" t="s">
        <v>279</v>
      </c>
    </row>
    <row r="143" spans="1:76">
      <c r="A143" s="27"/>
      <c r="C143" s="28" t="s">
        <v>282</v>
      </c>
      <c r="D143" s="28" t="s">
        <v>51</v>
      </c>
      <c r="F143" s="29">
        <v>20.684999999999999</v>
      </c>
      <c r="K143" s="30"/>
    </row>
    <row r="144" spans="1:76">
      <c r="A144" s="2" t="s">
        <v>275</v>
      </c>
      <c r="B144" s="3" t="s">
        <v>283</v>
      </c>
      <c r="C144" s="72" t="s">
        <v>284</v>
      </c>
      <c r="D144" s="67"/>
      <c r="E144" s="3" t="s">
        <v>91</v>
      </c>
      <c r="F144" s="24">
        <v>20.684999999999999</v>
      </c>
      <c r="G144" s="24">
        <v>0</v>
      </c>
      <c r="H144" s="24">
        <f>F144*AO144</f>
        <v>0</v>
      </c>
      <c r="I144" s="24">
        <f>F144*AP144</f>
        <v>0</v>
      </c>
      <c r="J144" s="24">
        <f>F144*G144</f>
        <v>0</v>
      </c>
      <c r="K144" s="25" t="s">
        <v>71</v>
      </c>
      <c r="Z144" s="24">
        <f>IF(AQ144="5",BJ144,0)</f>
        <v>0</v>
      </c>
      <c r="AB144" s="24">
        <f>IF(AQ144="1",BH144,0)</f>
        <v>0</v>
      </c>
      <c r="AC144" s="24">
        <f>IF(AQ144="1",BI144,0)</f>
        <v>0</v>
      </c>
      <c r="AD144" s="24">
        <f>IF(AQ144="7",BH144,0)</f>
        <v>0</v>
      </c>
      <c r="AE144" s="24">
        <f>IF(AQ144="7",BI144,0)</f>
        <v>0</v>
      </c>
      <c r="AF144" s="24">
        <f>IF(AQ144="2",BH144,0)</f>
        <v>0</v>
      </c>
      <c r="AG144" s="24">
        <f>IF(AQ144="2",BI144,0)</f>
        <v>0</v>
      </c>
      <c r="AH144" s="24">
        <f>IF(AQ144="0",BJ144,0)</f>
        <v>0</v>
      </c>
      <c r="AI144" s="10" t="s">
        <v>51</v>
      </c>
      <c r="AJ144" s="24">
        <f>IF(AN144=0,J144,0)</f>
        <v>0</v>
      </c>
      <c r="AK144" s="24">
        <f>IF(AN144=12,J144,0)</f>
        <v>0</v>
      </c>
      <c r="AL144" s="24">
        <f>IF(AN144=21,J144,0)</f>
        <v>0</v>
      </c>
      <c r="AN144" s="24">
        <v>21</v>
      </c>
      <c r="AO144" s="24">
        <f>G144*0</f>
        <v>0</v>
      </c>
      <c r="AP144" s="24">
        <f>G144*(1-0)</f>
        <v>0</v>
      </c>
      <c r="AQ144" s="26" t="s">
        <v>61</v>
      </c>
      <c r="AV144" s="24">
        <f>AW144+AX144</f>
        <v>0</v>
      </c>
      <c r="AW144" s="24">
        <f>F144*AO144</f>
        <v>0</v>
      </c>
      <c r="AX144" s="24">
        <f>F144*AP144</f>
        <v>0</v>
      </c>
      <c r="AY144" s="26" t="s">
        <v>280</v>
      </c>
      <c r="AZ144" s="26" t="s">
        <v>281</v>
      </c>
      <c r="BA144" s="10" t="s">
        <v>59</v>
      </c>
      <c r="BC144" s="24">
        <f>AW144+AX144</f>
        <v>0</v>
      </c>
      <c r="BD144" s="24">
        <f>G144/(100-BE144)*100</f>
        <v>0</v>
      </c>
      <c r="BE144" s="24">
        <v>0</v>
      </c>
      <c r="BF144" s="24">
        <f>144</f>
        <v>144</v>
      </c>
      <c r="BH144" s="24">
        <f>F144*AO144</f>
        <v>0</v>
      </c>
      <c r="BI144" s="24">
        <f>F144*AP144</f>
        <v>0</v>
      </c>
      <c r="BJ144" s="24">
        <f>F144*G144</f>
        <v>0</v>
      </c>
      <c r="BK144" s="24"/>
      <c r="BL144" s="24">
        <v>45</v>
      </c>
      <c r="BW144" s="24">
        <v>21</v>
      </c>
      <c r="BX144" s="4" t="s">
        <v>284</v>
      </c>
    </row>
    <row r="145" spans="1:76">
      <c r="A145" s="27"/>
      <c r="C145" s="28" t="s">
        <v>285</v>
      </c>
      <c r="D145" s="28" t="s">
        <v>51</v>
      </c>
      <c r="F145" s="29">
        <v>20.684999999999999</v>
      </c>
      <c r="K145" s="30"/>
    </row>
    <row r="146" spans="1:76">
      <c r="A146" s="31" t="s">
        <v>51</v>
      </c>
      <c r="B146" s="32" t="s">
        <v>286</v>
      </c>
      <c r="C146" s="88" t="s">
        <v>287</v>
      </c>
      <c r="D146" s="89"/>
      <c r="E146" s="33" t="s">
        <v>4</v>
      </c>
      <c r="F146" s="33" t="s">
        <v>4</v>
      </c>
      <c r="G146" s="33" t="s">
        <v>4</v>
      </c>
      <c r="H146" s="1">
        <f>SUM(H147:H147)</f>
        <v>0</v>
      </c>
      <c r="I146" s="1">
        <f>SUM(I147:I147)</f>
        <v>0</v>
      </c>
      <c r="J146" s="1">
        <f>SUM(J147:J147)</f>
        <v>0</v>
      </c>
      <c r="K146" s="34" t="s">
        <v>51</v>
      </c>
      <c r="AI146" s="10" t="s">
        <v>51</v>
      </c>
      <c r="AS146" s="1">
        <f>SUM(AJ147:AJ147)</f>
        <v>0</v>
      </c>
      <c r="AT146" s="1">
        <f>SUM(AK147:AK147)</f>
        <v>0</v>
      </c>
      <c r="AU146" s="1">
        <f>SUM(AL147:AL147)</f>
        <v>0</v>
      </c>
    </row>
    <row r="147" spans="1:76">
      <c r="A147" s="2" t="s">
        <v>288</v>
      </c>
      <c r="B147" s="3" t="s">
        <v>289</v>
      </c>
      <c r="C147" s="72" t="s">
        <v>290</v>
      </c>
      <c r="D147" s="67"/>
      <c r="E147" s="3" t="s">
        <v>81</v>
      </c>
      <c r="F147" s="24">
        <v>9</v>
      </c>
      <c r="G147" s="24">
        <v>0</v>
      </c>
      <c r="H147" s="24">
        <f>F147*AO147</f>
        <v>0</v>
      </c>
      <c r="I147" s="24">
        <f>F147*AP147</f>
        <v>0</v>
      </c>
      <c r="J147" s="24">
        <f>F147*G147</f>
        <v>0</v>
      </c>
      <c r="K147" s="25" t="s">
        <v>71</v>
      </c>
      <c r="Z147" s="24">
        <f>IF(AQ147="5",BJ147,0)</f>
        <v>0</v>
      </c>
      <c r="AB147" s="24">
        <f>IF(AQ147="1",BH147,0)</f>
        <v>0</v>
      </c>
      <c r="AC147" s="24">
        <f>IF(AQ147="1",BI147,0)</f>
        <v>0</v>
      </c>
      <c r="AD147" s="24">
        <f>IF(AQ147="7",BH147,0)</f>
        <v>0</v>
      </c>
      <c r="AE147" s="24">
        <f>IF(AQ147="7",BI147,0)</f>
        <v>0</v>
      </c>
      <c r="AF147" s="24">
        <f>IF(AQ147="2",BH147,0)</f>
        <v>0</v>
      </c>
      <c r="AG147" s="24">
        <f>IF(AQ147="2",BI147,0)</f>
        <v>0</v>
      </c>
      <c r="AH147" s="24">
        <f>IF(AQ147="0",BJ147,0)</f>
        <v>0</v>
      </c>
      <c r="AI147" s="10" t="s">
        <v>51</v>
      </c>
      <c r="AJ147" s="24">
        <f>IF(AN147=0,J147,0)</f>
        <v>0</v>
      </c>
      <c r="AK147" s="24">
        <f>IF(AN147=12,J147,0)</f>
        <v>0</v>
      </c>
      <c r="AL147" s="24">
        <f>IF(AN147=21,J147,0)</f>
        <v>0</v>
      </c>
      <c r="AN147" s="24">
        <v>21</v>
      </c>
      <c r="AO147" s="24">
        <f>G147*0.659160493</f>
        <v>0</v>
      </c>
      <c r="AP147" s="24">
        <f>G147*(1-0.659160493)</f>
        <v>0</v>
      </c>
      <c r="AQ147" s="26" t="s">
        <v>54</v>
      </c>
      <c r="AV147" s="24">
        <f>AW147+AX147</f>
        <v>0</v>
      </c>
      <c r="AW147" s="24">
        <f>F147*AO147</f>
        <v>0</v>
      </c>
      <c r="AX147" s="24">
        <f>F147*AP147</f>
        <v>0</v>
      </c>
      <c r="AY147" s="26" t="s">
        <v>291</v>
      </c>
      <c r="AZ147" s="26" t="s">
        <v>292</v>
      </c>
      <c r="BA147" s="10" t="s">
        <v>59</v>
      </c>
      <c r="BC147" s="24">
        <f>AW147+AX147</f>
        <v>0</v>
      </c>
      <c r="BD147" s="24">
        <f>G147/(100-BE147)*100</f>
        <v>0</v>
      </c>
      <c r="BE147" s="24">
        <v>0</v>
      </c>
      <c r="BF147" s="24">
        <f>147</f>
        <v>147</v>
      </c>
      <c r="BH147" s="24">
        <f>F147*AO147</f>
        <v>0</v>
      </c>
      <c r="BI147" s="24">
        <f>F147*AP147</f>
        <v>0</v>
      </c>
      <c r="BJ147" s="24">
        <f>F147*G147</f>
        <v>0</v>
      </c>
      <c r="BK147" s="24"/>
      <c r="BL147" s="24">
        <v>57</v>
      </c>
      <c r="BW147" s="24">
        <v>21</v>
      </c>
      <c r="BX147" s="4" t="s">
        <v>290</v>
      </c>
    </row>
    <row r="148" spans="1:76">
      <c r="A148" s="27"/>
      <c r="C148" s="28" t="s">
        <v>293</v>
      </c>
      <c r="D148" s="28" t="s">
        <v>51</v>
      </c>
      <c r="F148" s="29">
        <v>9</v>
      </c>
      <c r="K148" s="30"/>
    </row>
    <row r="149" spans="1:76">
      <c r="A149" s="31" t="s">
        <v>51</v>
      </c>
      <c r="B149" s="32" t="s">
        <v>294</v>
      </c>
      <c r="C149" s="88" t="s">
        <v>295</v>
      </c>
      <c r="D149" s="89"/>
      <c r="E149" s="33" t="s">
        <v>4</v>
      </c>
      <c r="F149" s="33" t="s">
        <v>4</v>
      </c>
      <c r="G149" s="33" t="s">
        <v>4</v>
      </c>
      <c r="H149" s="1">
        <f>SUM(H150:H154)</f>
        <v>0</v>
      </c>
      <c r="I149" s="1">
        <f>SUM(I150:I154)</f>
        <v>0</v>
      </c>
      <c r="J149" s="1">
        <f>SUM(J150:J154)</f>
        <v>0</v>
      </c>
      <c r="K149" s="34" t="s">
        <v>51</v>
      </c>
      <c r="AI149" s="10" t="s">
        <v>51</v>
      </c>
      <c r="AS149" s="1">
        <f>SUM(AJ150:AJ154)</f>
        <v>0</v>
      </c>
      <c r="AT149" s="1">
        <f>SUM(AK150:AK154)</f>
        <v>0</v>
      </c>
      <c r="AU149" s="1">
        <f>SUM(AL150:AL154)</f>
        <v>0</v>
      </c>
    </row>
    <row r="150" spans="1:76">
      <c r="A150" s="2" t="s">
        <v>296</v>
      </c>
      <c r="B150" s="3" t="s">
        <v>297</v>
      </c>
      <c r="C150" s="72" t="s">
        <v>298</v>
      </c>
      <c r="D150" s="67"/>
      <c r="E150" s="3" t="s">
        <v>81</v>
      </c>
      <c r="F150" s="24">
        <v>29.594999999999999</v>
      </c>
      <c r="G150" s="24">
        <v>0</v>
      </c>
      <c r="H150" s="24">
        <f>F150*AO150</f>
        <v>0</v>
      </c>
      <c r="I150" s="24">
        <f>F150*AP150</f>
        <v>0</v>
      </c>
      <c r="J150" s="24">
        <f>F150*G150</f>
        <v>0</v>
      </c>
      <c r="K150" s="25" t="s">
        <v>71</v>
      </c>
      <c r="Z150" s="24">
        <f>IF(AQ150="5",BJ150,0)</f>
        <v>0</v>
      </c>
      <c r="AB150" s="24">
        <f>IF(AQ150="1",BH150,0)</f>
        <v>0</v>
      </c>
      <c r="AC150" s="24">
        <f>IF(AQ150="1",BI150,0)</f>
        <v>0</v>
      </c>
      <c r="AD150" s="24">
        <f>IF(AQ150="7",BH150,0)</f>
        <v>0</v>
      </c>
      <c r="AE150" s="24">
        <f>IF(AQ150="7",BI150,0)</f>
        <v>0</v>
      </c>
      <c r="AF150" s="24">
        <f>IF(AQ150="2",BH150,0)</f>
        <v>0</v>
      </c>
      <c r="AG150" s="24">
        <f>IF(AQ150="2",BI150,0)</f>
        <v>0</v>
      </c>
      <c r="AH150" s="24">
        <f>IF(AQ150="0",BJ150,0)</f>
        <v>0</v>
      </c>
      <c r="AI150" s="10" t="s">
        <v>51</v>
      </c>
      <c r="AJ150" s="24">
        <f>IF(AN150=0,J150,0)</f>
        <v>0</v>
      </c>
      <c r="AK150" s="24">
        <f>IF(AN150=12,J150,0)</f>
        <v>0</v>
      </c>
      <c r="AL150" s="24">
        <f>IF(AN150=21,J150,0)</f>
        <v>0</v>
      </c>
      <c r="AN150" s="24">
        <v>21</v>
      </c>
      <c r="AO150" s="24">
        <f>G150*0.087519055</f>
        <v>0</v>
      </c>
      <c r="AP150" s="24">
        <f>G150*(1-0.087519055)</f>
        <v>0</v>
      </c>
      <c r="AQ150" s="26" t="s">
        <v>54</v>
      </c>
      <c r="AV150" s="24">
        <f>AW150+AX150</f>
        <v>0</v>
      </c>
      <c r="AW150" s="24">
        <f>F150*AO150</f>
        <v>0</v>
      </c>
      <c r="AX150" s="24">
        <f>F150*AP150</f>
        <v>0</v>
      </c>
      <c r="AY150" s="26" t="s">
        <v>299</v>
      </c>
      <c r="AZ150" s="26" t="s">
        <v>300</v>
      </c>
      <c r="BA150" s="10" t="s">
        <v>59</v>
      </c>
      <c r="BC150" s="24">
        <f>AW150+AX150</f>
        <v>0</v>
      </c>
      <c r="BD150" s="24">
        <f>G150/(100-BE150)*100</f>
        <v>0</v>
      </c>
      <c r="BE150" s="24">
        <v>0</v>
      </c>
      <c r="BF150" s="24">
        <f>150</f>
        <v>150</v>
      </c>
      <c r="BH150" s="24">
        <f>F150*AO150</f>
        <v>0</v>
      </c>
      <c r="BI150" s="24">
        <f>F150*AP150</f>
        <v>0</v>
      </c>
      <c r="BJ150" s="24">
        <f>F150*G150</f>
        <v>0</v>
      </c>
      <c r="BK150" s="24"/>
      <c r="BL150" s="24">
        <v>61</v>
      </c>
      <c r="BW150" s="24">
        <v>21</v>
      </c>
      <c r="BX150" s="4" t="s">
        <v>298</v>
      </c>
    </row>
    <row r="151" spans="1:76">
      <c r="A151" s="27"/>
      <c r="C151" s="28" t="s">
        <v>301</v>
      </c>
      <c r="D151" s="28" t="s">
        <v>51</v>
      </c>
      <c r="F151" s="29">
        <v>10.797000000000001</v>
      </c>
      <c r="K151" s="30"/>
    </row>
    <row r="152" spans="1:76">
      <c r="A152" s="27"/>
      <c r="C152" s="28" t="s">
        <v>302</v>
      </c>
      <c r="D152" s="28" t="s">
        <v>51</v>
      </c>
      <c r="F152" s="29">
        <v>18.797999999999998</v>
      </c>
      <c r="K152" s="30"/>
    </row>
    <row r="153" spans="1:76">
      <c r="A153" s="27"/>
      <c r="C153" s="28" t="s">
        <v>303</v>
      </c>
      <c r="D153" s="28" t="s">
        <v>51</v>
      </c>
      <c r="F153" s="29">
        <v>0</v>
      </c>
      <c r="K153" s="30"/>
    </row>
    <row r="154" spans="1:76">
      <c r="A154" s="2" t="s">
        <v>304</v>
      </c>
      <c r="B154" s="3" t="s">
        <v>305</v>
      </c>
      <c r="C154" s="72" t="s">
        <v>306</v>
      </c>
      <c r="D154" s="67"/>
      <c r="E154" s="3" t="s">
        <v>81</v>
      </c>
      <c r="F154" s="24">
        <v>28.4</v>
      </c>
      <c r="G154" s="24">
        <v>0</v>
      </c>
      <c r="H154" s="24">
        <f>F154*AO154</f>
        <v>0</v>
      </c>
      <c r="I154" s="24">
        <f>F154*AP154</f>
        <v>0</v>
      </c>
      <c r="J154" s="24">
        <f>F154*G154</f>
        <v>0</v>
      </c>
      <c r="K154" s="25" t="s">
        <v>71</v>
      </c>
      <c r="Z154" s="24">
        <f>IF(AQ154="5",BJ154,0)</f>
        <v>0</v>
      </c>
      <c r="AB154" s="24">
        <f>IF(AQ154="1",BH154,0)</f>
        <v>0</v>
      </c>
      <c r="AC154" s="24">
        <f>IF(AQ154="1",BI154,0)</f>
        <v>0</v>
      </c>
      <c r="AD154" s="24">
        <f>IF(AQ154="7",BH154,0)</f>
        <v>0</v>
      </c>
      <c r="AE154" s="24">
        <f>IF(AQ154="7",BI154,0)</f>
        <v>0</v>
      </c>
      <c r="AF154" s="24">
        <f>IF(AQ154="2",BH154,0)</f>
        <v>0</v>
      </c>
      <c r="AG154" s="24">
        <f>IF(AQ154="2",BI154,0)</f>
        <v>0</v>
      </c>
      <c r="AH154" s="24">
        <f>IF(AQ154="0",BJ154,0)</f>
        <v>0</v>
      </c>
      <c r="AI154" s="10" t="s">
        <v>51</v>
      </c>
      <c r="AJ154" s="24">
        <f>IF(AN154=0,J154,0)</f>
        <v>0</v>
      </c>
      <c r="AK154" s="24">
        <f>IF(AN154=12,J154,0)</f>
        <v>0</v>
      </c>
      <c r="AL154" s="24">
        <f>IF(AN154=21,J154,0)</f>
        <v>0</v>
      </c>
      <c r="AN154" s="24">
        <v>21</v>
      </c>
      <c r="AO154" s="24">
        <f>G154*0.145294118</f>
        <v>0</v>
      </c>
      <c r="AP154" s="24">
        <f>G154*(1-0.145294118)</f>
        <v>0</v>
      </c>
      <c r="AQ154" s="26" t="s">
        <v>54</v>
      </c>
      <c r="AV154" s="24">
        <f>AW154+AX154</f>
        <v>0</v>
      </c>
      <c r="AW154" s="24">
        <f>F154*AO154</f>
        <v>0</v>
      </c>
      <c r="AX154" s="24">
        <f>F154*AP154</f>
        <v>0</v>
      </c>
      <c r="AY154" s="26" t="s">
        <v>299</v>
      </c>
      <c r="AZ154" s="26" t="s">
        <v>300</v>
      </c>
      <c r="BA154" s="10" t="s">
        <v>59</v>
      </c>
      <c r="BC154" s="24">
        <f>AW154+AX154</f>
        <v>0</v>
      </c>
      <c r="BD154" s="24">
        <f>G154/(100-BE154)*100</f>
        <v>0</v>
      </c>
      <c r="BE154" s="24">
        <v>0</v>
      </c>
      <c r="BF154" s="24">
        <f>154</f>
        <v>154</v>
      </c>
      <c r="BH154" s="24">
        <f>F154*AO154</f>
        <v>0</v>
      </c>
      <c r="BI154" s="24">
        <f>F154*AP154</f>
        <v>0</v>
      </c>
      <c r="BJ154" s="24">
        <f>F154*G154</f>
        <v>0</v>
      </c>
      <c r="BK154" s="24"/>
      <c r="BL154" s="24">
        <v>61</v>
      </c>
      <c r="BW154" s="24">
        <v>21</v>
      </c>
      <c r="BX154" s="4" t="s">
        <v>306</v>
      </c>
    </row>
    <row r="155" spans="1:76">
      <c r="A155" s="27"/>
      <c r="C155" s="28" t="s">
        <v>307</v>
      </c>
      <c r="D155" s="28" t="s">
        <v>51</v>
      </c>
      <c r="F155" s="29">
        <v>9.9</v>
      </c>
      <c r="K155" s="30"/>
    </row>
    <row r="156" spans="1:76">
      <c r="A156" s="27"/>
      <c r="C156" s="28" t="s">
        <v>308</v>
      </c>
      <c r="D156" s="28" t="s">
        <v>51</v>
      </c>
      <c r="F156" s="29">
        <v>18.5</v>
      </c>
      <c r="K156" s="30"/>
    </row>
    <row r="157" spans="1:76">
      <c r="A157" s="27"/>
      <c r="C157" s="28" t="s">
        <v>303</v>
      </c>
      <c r="D157" s="28" t="s">
        <v>51</v>
      </c>
      <c r="F157" s="29">
        <v>0</v>
      </c>
      <c r="K157" s="30"/>
    </row>
    <row r="158" spans="1:76">
      <c r="A158" s="31" t="s">
        <v>51</v>
      </c>
      <c r="B158" s="32" t="s">
        <v>309</v>
      </c>
      <c r="C158" s="88" t="s">
        <v>310</v>
      </c>
      <c r="D158" s="89"/>
      <c r="E158" s="33" t="s">
        <v>4</v>
      </c>
      <c r="F158" s="33" t="s">
        <v>4</v>
      </c>
      <c r="G158" s="33" t="s">
        <v>4</v>
      </c>
      <c r="H158" s="1">
        <f>SUM(H159:H159)</f>
        <v>0</v>
      </c>
      <c r="I158" s="1">
        <f>SUM(I159:I159)</f>
        <v>0</v>
      </c>
      <c r="J158" s="1">
        <f>SUM(J159:J159)</f>
        <v>0</v>
      </c>
      <c r="K158" s="34" t="s">
        <v>51</v>
      </c>
      <c r="AI158" s="10" t="s">
        <v>51</v>
      </c>
      <c r="AS158" s="1">
        <f>SUM(AJ159:AJ159)</f>
        <v>0</v>
      </c>
      <c r="AT158" s="1">
        <f>SUM(AK159:AK159)</f>
        <v>0</v>
      </c>
      <c r="AU158" s="1">
        <f>SUM(AL159:AL159)</f>
        <v>0</v>
      </c>
    </row>
    <row r="159" spans="1:76">
      <c r="A159" s="2" t="s">
        <v>311</v>
      </c>
      <c r="B159" s="3" t="s">
        <v>312</v>
      </c>
      <c r="C159" s="72" t="s">
        <v>313</v>
      </c>
      <c r="D159" s="67"/>
      <c r="E159" s="3" t="s">
        <v>81</v>
      </c>
      <c r="F159" s="24">
        <v>40.4983</v>
      </c>
      <c r="G159" s="24">
        <v>0</v>
      </c>
      <c r="H159" s="24">
        <f>F159*AO159</f>
        <v>0</v>
      </c>
      <c r="I159" s="24">
        <f>F159*AP159</f>
        <v>0</v>
      </c>
      <c r="J159" s="24">
        <f>F159*G159</f>
        <v>0</v>
      </c>
      <c r="K159" s="25" t="s">
        <v>71</v>
      </c>
      <c r="Z159" s="24">
        <f>IF(AQ159="5",BJ159,0)</f>
        <v>0</v>
      </c>
      <c r="AB159" s="24">
        <f>IF(AQ159="1",BH159,0)</f>
        <v>0</v>
      </c>
      <c r="AC159" s="24">
        <f>IF(AQ159="1",BI159,0)</f>
        <v>0</v>
      </c>
      <c r="AD159" s="24">
        <f>IF(AQ159="7",BH159,0)</f>
        <v>0</v>
      </c>
      <c r="AE159" s="24">
        <f>IF(AQ159="7",BI159,0)</f>
        <v>0</v>
      </c>
      <c r="AF159" s="24">
        <f>IF(AQ159="2",BH159,0)</f>
        <v>0</v>
      </c>
      <c r="AG159" s="24">
        <f>IF(AQ159="2",BI159,0)</f>
        <v>0</v>
      </c>
      <c r="AH159" s="24">
        <f>IF(AQ159="0",BJ159,0)</f>
        <v>0</v>
      </c>
      <c r="AI159" s="10" t="s">
        <v>51</v>
      </c>
      <c r="AJ159" s="24">
        <f>IF(AN159=0,J159,0)</f>
        <v>0</v>
      </c>
      <c r="AK159" s="24">
        <f>IF(AN159=12,J159,0)</f>
        <v>0</v>
      </c>
      <c r="AL159" s="24">
        <f>IF(AN159=21,J159,0)</f>
        <v>0</v>
      </c>
      <c r="AN159" s="24">
        <v>21</v>
      </c>
      <c r="AO159" s="24">
        <f>G159*0.229663597</f>
        <v>0</v>
      </c>
      <c r="AP159" s="24">
        <f>G159*(1-0.229663597)</f>
        <v>0</v>
      </c>
      <c r="AQ159" s="26" t="s">
        <v>54</v>
      </c>
      <c r="AV159" s="24">
        <f>AW159+AX159</f>
        <v>0</v>
      </c>
      <c r="AW159" s="24">
        <f>F159*AO159</f>
        <v>0</v>
      </c>
      <c r="AX159" s="24">
        <f>F159*AP159</f>
        <v>0</v>
      </c>
      <c r="AY159" s="26" t="s">
        <v>314</v>
      </c>
      <c r="AZ159" s="26" t="s">
        <v>300</v>
      </c>
      <c r="BA159" s="10" t="s">
        <v>59</v>
      </c>
      <c r="BC159" s="24">
        <f>AW159+AX159</f>
        <v>0</v>
      </c>
      <c r="BD159" s="24">
        <f>G159/(100-BE159)*100</f>
        <v>0</v>
      </c>
      <c r="BE159" s="24">
        <v>0</v>
      </c>
      <c r="BF159" s="24">
        <f>159</f>
        <v>159</v>
      </c>
      <c r="BH159" s="24">
        <f>F159*AO159</f>
        <v>0</v>
      </c>
      <c r="BI159" s="24">
        <f>F159*AP159</f>
        <v>0</v>
      </c>
      <c r="BJ159" s="24">
        <f>F159*G159</f>
        <v>0</v>
      </c>
      <c r="BK159" s="24"/>
      <c r="BL159" s="24">
        <v>62</v>
      </c>
      <c r="BW159" s="24">
        <v>21</v>
      </c>
      <c r="BX159" s="4" t="s">
        <v>313</v>
      </c>
    </row>
    <row r="160" spans="1:76">
      <c r="A160" s="27"/>
      <c r="C160" s="28" t="s">
        <v>315</v>
      </c>
      <c r="D160" s="28" t="s">
        <v>51</v>
      </c>
      <c r="F160" s="29">
        <v>40.4983</v>
      </c>
      <c r="K160" s="30"/>
    </row>
    <row r="161" spans="1:76">
      <c r="A161" s="31" t="s">
        <v>51</v>
      </c>
      <c r="B161" s="32" t="s">
        <v>316</v>
      </c>
      <c r="C161" s="88" t="s">
        <v>317</v>
      </c>
      <c r="D161" s="89"/>
      <c r="E161" s="33" t="s">
        <v>4</v>
      </c>
      <c r="F161" s="33" t="s">
        <v>4</v>
      </c>
      <c r="G161" s="33" t="s">
        <v>4</v>
      </c>
      <c r="H161" s="1">
        <f>SUM(H162:H162)</f>
        <v>0</v>
      </c>
      <c r="I161" s="1">
        <f>SUM(I162:I162)</f>
        <v>0</v>
      </c>
      <c r="J161" s="1">
        <f>SUM(J162:J162)</f>
        <v>0</v>
      </c>
      <c r="K161" s="34" t="s">
        <v>51</v>
      </c>
      <c r="AI161" s="10" t="s">
        <v>51</v>
      </c>
      <c r="AS161" s="1">
        <f>SUM(AJ162:AJ162)</f>
        <v>0</v>
      </c>
      <c r="AT161" s="1">
        <f>SUM(AK162:AK162)</f>
        <v>0</v>
      </c>
      <c r="AU161" s="1">
        <f>SUM(AL162:AL162)</f>
        <v>0</v>
      </c>
    </row>
    <row r="162" spans="1:76" ht="25.5">
      <c r="A162" s="2" t="s">
        <v>318</v>
      </c>
      <c r="B162" s="3" t="s">
        <v>319</v>
      </c>
      <c r="C162" s="72" t="s">
        <v>320</v>
      </c>
      <c r="D162" s="67"/>
      <c r="E162" s="3" t="s">
        <v>81</v>
      </c>
      <c r="F162" s="24">
        <v>13.298999999999999</v>
      </c>
      <c r="G162" s="24">
        <v>0</v>
      </c>
      <c r="H162" s="24">
        <f>F162*AO162</f>
        <v>0</v>
      </c>
      <c r="I162" s="24">
        <f>F162*AP162</f>
        <v>0</v>
      </c>
      <c r="J162" s="24">
        <f>F162*G162</f>
        <v>0</v>
      </c>
      <c r="K162" s="25" t="s">
        <v>71</v>
      </c>
      <c r="Z162" s="24">
        <f>IF(AQ162="5",BJ162,0)</f>
        <v>0</v>
      </c>
      <c r="AB162" s="24">
        <f>IF(AQ162="1",BH162,0)</f>
        <v>0</v>
      </c>
      <c r="AC162" s="24">
        <f>IF(AQ162="1",BI162,0)</f>
        <v>0</v>
      </c>
      <c r="AD162" s="24">
        <f>IF(AQ162="7",BH162,0)</f>
        <v>0</v>
      </c>
      <c r="AE162" s="24">
        <f>IF(AQ162="7",BI162,0)</f>
        <v>0</v>
      </c>
      <c r="AF162" s="24">
        <f>IF(AQ162="2",BH162,0)</f>
        <v>0</v>
      </c>
      <c r="AG162" s="24">
        <f>IF(AQ162="2",BI162,0)</f>
        <v>0</v>
      </c>
      <c r="AH162" s="24">
        <f>IF(AQ162="0",BJ162,0)</f>
        <v>0</v>
      </c>
      <c r="AI162" s="10" t="s">
        <v>51</v>
      </c>
      <c r="AJ162" s="24">
        <f>IF(AN162=0,J162,0)</f>
        <v>0</v>
      </c>
      <c r="AK162" s="24">
        <f>IF(AN162=12,J162,0)</f>
        <v>0</v>
      </c>
      <c r="AL162" s="24">
        <f>IF(AN162=21,J162,0)</f>
        <v>0</v>
      </c>
      <c r="AN162" s="24">
        <v>21</v>
      </c>
      <c r="AO162" s="24">
        <f>G162*0.786137879</f>
        <v>0</v>
      </c>
      <c r="AP162" s="24">
        <f>G162*(1-0.786137879)</f>
        <v>0</v>
      </c>
      <c r="AQ162" s="26" t="s">
        <v>88</v>
      </c>
      <c r="AV162" s="24">
        <f>AW162+AX162</f>
        <v>0</v>
      </c>
      <c r="AW162" s="24">
        <f>F162*AO162</f>
        <v>0</v>
      </c>
      <c r="AX162" s="24">
        <f>F162*AP162</f>
        <v>0</v>
      </c>
      <c r="AY162" s="26" t="s">
        <v>321</v>
      </c>
      <c r="AZ162" s="26" t="s">
        <v>322</v>
      </c>
      <c r="BA162" s="10" t="s">
        <v>59</v>
      </c>
      <c r="BC162" s="24">
        <f>AW162+AX162</f>
        <v>0</v>
      </c>
      <c r="BD162" s="24">
        <f>G162/(100-BE162)*100</f>
        <v>0</v>
      </c>
      <c r="BE162" s="24">
        <v>0</v>
      </c>
      <c r="BF162" s="24">
        <f>162</f>
        <v>162</v>
      </c>
      <c r="BH162" s="24">
        <f>F162*AO162</f>
        <v>0</v>
      </c>
      <c r="BI162" s="24">
        <f>F162*AP162</f>
        <v>0</v>
      </c>
      <c r="BJ162" s="24">
        <f>F162*G162</f>
        <v>0</v>
      </c>
      <c r="BK162" s="24"/>
      <c r="BL162" s="24">
        <v>711</v>
      </c>
      <c r="BW162" s="24">
        <v>21</v>
      </c>
      <c r="BX162" s="4" t="s">
        <v>320</v>
      </c>
    </row>
    <row r="163" spans="1:76">
      <c r="A163" s="27"/>
      <c r="C163" s="28" t="s">
        <v>323</v>
      </c>
      <c r="D163" s="28" t="s">
        <v>51</v>
      </c>
      <c r="F163" s="29">
        <v>12.09</v>
      </c>
      <c r="K163" s="30"/>
    </row>
    <row r="164" spans="1:76">
      <c r="A164" s="27"/>
      <c r="C164" s="28" t="s">
        <v>324</v>
      </c>
      <c r="D164" s="28" t="s">
        <v>51</v>
      </c>
      <c r="F164" s="29">
        <v>1.2090000000000001</v>
      </c>
      <c r="K164" s="30"/>
    </row>
    <row r="165" spans="1:76">
      <c r="A165" s="31" t="s">
        <v>51</v>
      </c>
      <c r="B165" s="32" t="s">
        <v>325</v>
      </c>
      <c r="C165" s="88" t="s">
        <v>326</v>
      </c>
      <c r="D165" s="89"/>
      <c r="E165" s="33" t="s">
        <v>4</v>
      </c>
      <c r="F165" s="33" t="s">
        <v>4</v>
      </c>
      <c r="G165" s="33" t="s">
        <v>4</v>
      </c>
      <c r="H165" s="1">
        <f>SUM(H166:H166)</f>
        <v>0</v>
      </c>
      <c r="I165" s="1">
        <f>SUM(I166:I166)</f>
        <v>0</v>
      </c>
      <c r="J165" s="1">
        <f>SUM(J166:J166)</f>
        <v>0</v>
      </c>
      <c r="K165" s="34" t="s">
        <v>51</v>
      </c>
      <c r="AI165" s="10" t="s">
        <v>51</v>
      </c>
      <c r="AS165" s="1">
        <f>SUM(AJ166:AJ166)</f>
        <v>0</v>
      </c>
      <c r="AT165" s="1">
        <f>SUM(AK166:AK166)</f>
        <v>0</v>
      </c>
      <c r="AU165" s="1">
        <f>SUM(AL166:AL166)</f>
        <v>0</v>
      </c>
    </row>
    <row r="166" spans="1:76">
      <c r="A166" s="2" t="s">
        <v>327</v>
      </c>
      <c r="B166" s="3" t="s">
        <v>328</v>
      </c>
      <c r="C166" s="72" t="s">
        <v>329</v>
      </c>
      <c r="D166" s="67"/>
      <c r="E166" s="3" t="s">
        <v>122</v>
      </c>
      <c r="F166" s="24">
        <v>1</v>
      </c>
      <c r="G166" s="24">
        <v>0</v>
      </c>
      <c r="H166" s="24">
        <f>F166*AO166</f>
        <v>0</v>
      </c>
      <c r="I166" s="24">
        <f>F166*AP166</f>
        <v>0</v>
      </c>
      <c r="J166" s="24">
        <f>F166*G166</f>
        <v>0</v>
      </c>
      <c r="K166" s="25" t="s">
        <v>51</v>
      </c>
      <c r="Z166" s="24">
        <f>IF(AQ166="5",BJ166,0)</f>
        <v>0</v>
      </c>
      <c r="AB166" s="24">
        <f>IF(AQ166="1",BH166,0)</f>
        <v>0</v>
      </c>
      <c r="AC166" s="24">
        <f>IF(AQ166="1",BI166,0)</f>
        <v>0</v>
      </c>
      <c r="AD166" s="24">
        <f>IF(AQ166="7",BH166,0)</f>
        <v>0</v>
      </c>
      <c r="AE166" s="24">
        <f>IF(AQ166="7",BI166,0)</f>
        <v>0</v>
      </c>
      <c r="AF166" s="24">
        <f>IF(AQ166="2",BH166,0)</f>
        <v>0</v>
      </c>
      <c r="AG166" s="24">
        <f>IF(AQ166="2",BI166,0)</f>
        <v>0</v>
      </c>
      <c r="AH166" s="24">
        <f>IF(AQ166="0",BJ166,0)</f>
        <v>0</v>
      </c>
      <c r="AI166" s="10" t="s">
        <v>51</v>
      </c>
      <c r="AJ166" s="24">
        <f>IF(AN166=0,J166,0)</f>
        <v>0</v>
      </c>
      <c r="AK166" s="24">
        <f>IF(AN166=12,J166,0)</f>
        <v>0</v>
      </c>
      <c r="AL166" s="24">
        <f>IF(AN166=21,J166,0)</f>
        <v>0</v>
      </c>
      <c r="AN166" s="24">
        <v>21</v>
      </c>
      <c r="AO166" s="24">
        <f>G166*0.9</f>
        <v>0</v>
      </c>
      <c r="AP166" s="24">
        <f>G166*(1-0.9)</f>
        <v>0</v>
      </c>
      <c r="AQ166" s="26" t="s">
        <v>88</v>
      </c>
      <c r="AV166" s="24">
        <f>AW166+AX166</f>
        <v>0</v>
      </c>
      <c r="AW166" s="24">
        <f>F166*AO166</f>
        <v>0</v>
      </c>
      <c r="AX166" s="24">
        <f>F166*AP166</f>
        <v>0</v>
      </c>
      <c r="AY166" s="26" t="s">
        <v>330</v>
      </c>
      <c r="AZ166" s="26" t="s">
        <v>331</v>
      </c>
      <c r="BA166" s="10" t="s">
        <v>59</v>
      </c>
      <c r="BC166" s="24">
        <f>AW166+AX166</f>
        <v>0</v>
      </c>
      <c r="BD166" s="24">
        <f>G166/(100-BE166)*100</f>
        <v>0</v>
      </c>
      <c r="BE166" s="24">
        <v>0</v>
      </c>
      <c r="BF166" s="24">
        <f>166</f>
        <v>166</v>
      </c>
      <c r="BH166" s="24">
        <f>F166*AO166</f>
        <v>0</v>
      </c>
      <c r="BI166" s="24">
        <f>F166*AP166</f>
        <v>0</v>
      </c>
      <c r="BJ166" s="24">
        <f>F166*G166</f>
        <v>0</v>
      </c>
      <c r="BK166" s="24"/>
      <c r="BL166" s="24">
        <v>767</v>
      </c>
      <c r="BW166" s="24">
        <v>21</v>
      </c>
      <c r="BX166" s="4" t="s">
        <v>329</v>
      </c>
    </row>
    <row r="167" spans="1:76">
      <c r="A167" s="27"/>
      <c r="C167" s="28" t="s">
        <v>332</v>
      </c>
      <c r="D167" s="28" t="s">
        <v>51</v>
      </c>
      <c r="F167" s="29">
        <v>1</v>
      </c>
      <c r="K167" s="30"/>
    </row>
    <row r="168" spans="1:76">
      <c r="A168" s="31" t="s">
        <v>51</v>
      </c>
      <c r="B168" s="32" t="s">
        <v>333</v>
      </c>
      <c r="C168" s="88" t="s">
        <v>334</v>
      </c>
      <c r="D168" s="89"/>
      <c r="E168" s="33" t="s">
        <v>4</v>
      </c>
      <c r="F168" s="33" t="s">
        <v>4</v>
      </c>
      <c r="G168" s="33" t="s">
        <v>4</v>
      </c>
      <c r="H168" s="1">
        <f>SUM(H169:H181)</f>
        <v>0</v>
      </c>
      <c r="I168" s="1">
        <f>SUM(I169:I181)</f>
        <v>0</v>
      </c>
      <c r="J168" s="1">
        <f>SUM(J169:J181)</f>
        <v>0</v>
      </c>
      <c r="K168" s="34" t="s">
        <v>51</v>
      </c>
      <c r="AI168" s="10" t="s">
        <v>51</v>
      </c>
      <c r="AS168" s="1">
        <f>SUM(AJ169:AJ181)</f>
        <v>0</v>
      </c>
      <c r="AT168" s="1">
        <f>SUM(AK169:AK181)</f>
        <v>0</v>
      </c>
      <c r="AU168" s="1">
        <f>SUM(AL169:AL181)</f>
        <v>0</v>
      </c>
    </row>
    <row r="169" spans="1:76">
      <c r="A169" s="2" t="s">
        <v>335</v>
      </c>
      <c r="B169" s="3" t="s">
        <v>336</v>
      </c>
      <c r="C169" s="72" t="s">
        <v>337</v>
      </c>
      <c r="D169" s="67"/>
      <c r="E169" s="3" t="s">
        <v>81</v>
      </c>
      <c r="F169" s="24">
        <v>28.4</v>
      </c>
      <c r="G169" s="24">
        <v>0</v>
      </c>
      <c r="H169" s="24">
        <f>F169*AO169</f>
        <v>0</v>
      </c>
      <c r="I169" s="24">
        <f>F169*AP169</f>
        <v>0</v>
      </c>
      <c r="J169" s="24">
        <f>F169*G169</f>
        <v>0</v>
      </c>
      <c r="K169" s="25" t="s">
        <v>71</v>
      </c>
      <c r="Z169" s="24">
        <f>IF(AQ169="5",BJ169,0)</f>
        <v>0</v>
      </c>
      <c r="AB169" s="24">
        <f>IF(AQ169="1",BH169,0)</f>
        <v>0</v>
      </c>
      <c r="AC169" s="24">
        <f>IF(AQ169="1",BI169,0)</f>
        <v>0</v>
      </c>
      <c r="AD169" s="24">
        <f>IF(AQ169="7",BH169,0)</f>
        <v>0</v>
      </c>
      <c r="AE169" s="24">
        <f>IF(AQ169="7",BI169,0)</f>
        <v>0</v>
      </c>
      <c r="AF169" s="24">
        <f>IF(AQ169="2",BH169,0)</f>
        <v>0</v>
      </c>
      <c r="AG169" s="24">
        <f>IF(AQ169="2",BI169,0)</f>
        <v>0</v>
      </c>
      <c r="AH169" s="24">
        <f>IF(AQ169="0",BJ169,0)</f>
        <v>0</v>
      </c>
      <c r="AI169" s="10" t="s">
        <v>51</v>
      </c>
      <c r="AJ169" s="24">
        <f>IF(AN169=0,J169,0)</f>
        <v>0</v>
      </c>
      <c r="AK169" s="24">
        <f>IF(AN169=12,J169,0)</f>
        <v>0</v>
      </c>
      <c r="AL169" s="24">
        <f>IF(AN169=21,J169,0)</f>
        <v>0</v>
      </c>
      <c r="AN169" s="24">
        <v>21</v>
      </c>
      <c r="AO169" s="24">
        <f>G169*0.436432182</f>
        <v>0</v>
      </c>
      <c r="AP169" s="24">
        <f>G169*(1-0.436432182)</f>
        <v>0</v>
      </c>
      <c r="AQ169" s="26" t="s">
        <v>88</v>
      </c>
      <c r="AV169" s="24">
        <f>AW169+AX169</f>
        <v>0</v>
      </c>
      <c r="AW169" s="24">
        <f>F169*AO169</f>
        <v>0</v>
      </c>
      <c r="AX169" s="24">
        <f>F169*AP169</f>
        <v>0</v>
      </c>
      <c r="AY169" s="26" t="s">
        <v>338</v>
      </c>
      <c r="AZ169" s="26" t="s">
        <v>339</v>
      </c>
      <c r="BA169" s="10" t="s">
        <v>59</v>
      </c>
      <c r="BC169" s="24">
        <f>AW169+AX169</f>
        <v>0</v>
      </c>
      <c r="BD169" s="24">
        <f>G169/(100-BE169)*100</f>
        <v>0</v>
      </c>
      <c r="BE169" s="24">
        <v>0</v>
      </c>
      <c r="BF169" s="24">
        <f>169</f>
        <v>169</v>
      </c>
      <c r="BH169" s="24">
        <f>F169*AO169</f>
        <v>0</v>
      </c>
      <c r="BI169" s="24">
        <f>F169*AP169</f>
        <v>0</v>
      </c>
      <c r="BJ169" s="24">
        <f>F169*G169</f>
        <v>0</v>
      </c>
      <c r="BK169" s="24"/>
      <c r="BL169" s="24">
        <v>771</v>
      </c>
      <c r="BW169" s="24">
        <v>21</v>
      </c>
      <c r="BX169" s="4" t="s">
        <v>337</v>
      </c>
    </row>
    <row r="170" spans="1:76">
      <c r="A170" s="27"/>
      <c r="C170" s="28" t="s">
        <v>307</v>
      </c>
      <c r="D170" s="28" t="s">
        <v>51</v>
      </c>
      <c r="F170" s="29">
        <v>9.9</v>
      </c>
      <c r="K170" s="30"/>
    </row>
    <row r="171" spans="1:76">
      <c r="A171" s="27"/>
      <c r="C171" s="28" t="s">
        <v>308</v>
      </c>
      <c r="D171" s="28" t="s">
        <v>51</v>
      </c>
      <c r="F171" s="29">
        <v>18.5</v>
      </c>
      <c r="K171" s="30"/>
    </row>
    <row r="172" spans="1:76">
      <c r="A172" s="27"/>
      <c r="C172" s="28" t="s">
        <v>340</v>
      </c>
      <c r="D172" s="28" t="s">
        <v>51</v>
      </c>
      <c r="F172" s="29">
        <v>0</v>
      </c>
      <c r="K172" s="30"/>
    </row>
    <row r="173" spans="1:76">
      <c r="A173" s="2" t="s">
        <v>341</v>
      </c>
      <c r="B173" s="3" t="s">
        <v>342</v>
      </c>
      <c r="C173" s="72" t="s">
        <v>343</v>
      </c>
      <c r="D173" s="67"/>
      <c r="E173" s="3" t="s">
        <v>81</v>
      </c>
      <c r="F173" s="24">
        <v>28.4</v>
      </c>
      <c r="G173" s="24">
        <v>0</v>
      </c>
      <c r="H173" s="24">
        <f>F173*AO173</f>
        <v>0</v>
      </c>
      <c r="I173" s="24">
        <f>F173*AP173</f>
        <v>0</v>
      </c>
      <c r="J173" s="24">
        <f>F173*G173</f>
        <v>0</v>
      </c>
      <c r="K173" s="25" t="s">
        <v>71</v>
      </c>
      <c r="Z173" s="24">
        <f>IF(AQ173="5",BJ173,0)</f>
        <v>0</v>
      </c>
      <c r="AB173" s="24">
        <f>IF(AQ173="1",BH173,0)</f>
        <v>0</v>
      </c>
      <c r="AC173" s="24">
        <f>IF(AQ173="1",BI173,0)</f>
        <v>0</v>
      </c>
      <c r="AD173" s="24">
        <f>IF(AQ173="7",BH173,0)</f>
        <v>0</v>
      </c>
      <c r="AE173" s="24">
        <f>IF(AQ173="7",BI173,0)</f>
        <v>0</v>
      </c>
      <c r="AF173" s="24">
        <f>IF(AQ173="2",BH173,0)</f>
        <v>0</v>
      </c>
      <c r="AG173" s="24">
        <f>IF(AQ173="2",BI173,0)</f>
        <v>0</v>
      </c>
      <c r="AH173" s="24">
        <f>IF(AQ173="0",BJ173,0)</f>
        <v>0</v>
      </c>
      <c r="AI173" s="10" t="s">
        <v>51</v>
      </c>
      <c r="AJ173" s="24">
        <f>IF(AN173=0,J173,0)</f>
        <v>0</v>
      </c>
      <c r="AK173" s="24">
        <f>IF(AN173=12,J173,0)</f>
        <v>0</v>
      </c>
      <c r="AL173" s="24">
        <f>IF(AN173=21,J173,0)</f>
        <v>0</v>
      </c>
      <c r="AN173" s="24">
        <v>21</v>
      </c>
      <c r="AO173" s="24">
        <f>G173*0.427145709</f>
        <v>0</v>
      </c>
      <c r="AP173" s="24">
        <f>G173*(1-0.427145709)</f>
        <v>0</v>
      </c>
      <c r="AQ173" s="26" t="s">
        <v>88</v>
      </c>
      <c r="AV173" s="24">
        <f>AW173+AX173</f>
        <v>0</v>
      </c>
      <c r="AW173" s="24">
        <f>F173*AO173</f>
        <v>0</v>
      </c>
      <c r="AX173" s="24">
        <f>F173*AP173</f>
        <v>0</v>
      </c>
      <c r="AY173" s="26" t="s">
        <v>338</v>
      </c>
      <c r="AZ173" s="26" t="s">
        <v>339</v>
      </c>
      <c r="BA173" s="10" t="s">
        <v>59</v>
      </c>
      <c r="BC173" s="24">
        <f>AW173+AX173</f>
        <v>0</v>
      </c>
      <c r="BD173" s="24">
        <f>G173/(100-BE173)*100</f>
        <v>0</v>
      </c>
      <c r="BE173" s="24">
        <v>0</v>
      </c>
      <c r="BF173" s="24">
        <f>173</f>
        <v>173</v>
      </c>
      <c r="BH173" s="24">
        <f>F173*AO173</f>
        <v>0</v>
      </c>
      <c r="BI173" s="24">
        <f>F173*AP173</f>
        <v>0</v>
      </c>
      <c r="BJ173" s="24">
        <f>F173*G173</f>
        <v>0</v>
      </c>
      <c r="BK173" s="24"/>
      <c r="BL173" s="24">
        <v>771</v>
      </c>
      <c r="BW173" s="24">
        <v>21</v>
      </c>
      <c r="BX173" s="4" t="s">
        <v>343</v>
      </c>
    </row>
    <row r="174" spans="1:76">
      <c r="A174" s="27"/>
      <c r="C174" s="28" t="s">
        <v>344</v>
      </c>
      <c r="D174" s="28" t="s">
        <v>51</v>
      </c>
      <c r="F174" s="29">
        <v>28.4</v>
      </c>
      <c r="K174" s="30"/>
    </row>
    <row r="175" spans="1:76">
      <c r="A175" s="27"/>
      <c r="C175" s="28" t="s">
        <v>340</v>
      </c>
      <c r="D175" s="28" t="s">
        <v>51</v>
      </c>
      <c r="F175" s="29">
        <v>0</v>
      </c>
      <c r="K175" s="30"/>
    </row>
    <row r="176" spans="1:76">
      <c r="A176" s="2" t="s">
        <v>345</v>
      </c>
      <c r="B176" s="3" t="s">
        <v>346</v>
      </c>
      <c r="C176" s="72" t="s">
        <v>347</v>
      </c>
      <c r="D176" s="67"/>
      <c r="E176" s="3" t="s">
        <v>81</v>
      </c>
      <c r="F176" s="24">
        <v>28.4</v>
      </c>
      <c r="G176" s="24">
        <v>0</v>
      </c>
      <c r="H176" s="24">
        <f>F176*AO176</f>
        <v>0</v>
      </c>
      <c r="I176" s="24">
        <f>F176*AP176</f>
        <v>0</v>
      </c>
      <c r="J176" s="24">
        <f>F176*G176</f>
        <v>0</v>
      </c>
      <c r="K176" s="25" t="s">
        <v>71</v>
      </c>
      <c r="Z176" s="24">
        <f>IF(AQ176="5",BJ176,0)</f>
        <v>0</v>
      </c>
      <c r="AB176" s="24">
        <f>IF(AQ176="1",BH176,0)</f>
        <v>0</v>
      </c>
      <c r="AC176" s="24">
        <f>IF(AQ176="1",BI176,0)</f>
        <v>0</v>
      </c>
      <c r="AD176" s="24">
        <f>IF(AQ176="7",BH176,0)</f>
        <v>0</v>
      </c>
      <c r="AE176" s="24">
        <f>IF(AQ176="7",BI176,0)</f>
        <v>0</v>
      </c>
      <c r="AF176" s="24">
        <f>IF(AQ176="2",BH176,0)</f>
        <v>0</v>
      </c>
      <c r="AG176" s="24">
        <f>IF(AQ176="2",BI176,0)</f>
        <v>0</v>
      </c>
      <c r="AH176" s="24">
        <f>IF(AQ176="0",BJ176,0)</f>
        <v>0</v>
      </c>
      <c r="AI176" s="10" t="s">
        <v>51</v>
      </c>
      <c r="AJ176" s="24">
        <f>IF(AN176=0,J176,0)</f>
        <v>0</v>
      </c>
      <c r="AK176" s="24">
        <f>IF(AN176=12,J176,0)</f>
        <v>0</v>
      </c>
      <c r="AL176" s="24">
        <f>IF(AN176=21,J176,0)</f>
        <v>0</v>
      </c>
      <c r="AN176" s="24">
        <v>21</v>
      </c>
      <c r="AO176" s="24">
        <f>G176*0.169764151</f>
        <v>0</v>
      </c>
      <c r="AP176" s="24">
        <f>G176*(1-0.169764151)</f>
        <v>0</v>
      </c>
      <c r="AQ176" s="26" t="s">
        <v>88</v>
      </c>
      <c r="AV176" s="24">
        <f>AW176+AX176</f>
        <v>0</v>
      </c>
      <c r="AW176" s="24">
        <f>F176*AO176</f>
        <v>0</v>
      </c>
      <c r="AX176" s="24">
        <f>F176*AP176</f>
        <v>0</v>
      </c>
      <c r="AY176" s="26" t="s">
        <v>338</v>
      </c>
      <c r="AZ176" s="26" t="s">
        <v>339</v>
      </c>
      <c r="BA176" s="10" t="s">
        <v>59</v>
      </c>
      <c r="BC176" s="24">
        <f>AW176+AX176</f>
        <v>0</v>
      </c>
      <c r="BD176" s="24">
        <f>G176/(100-BE176)*100</f>
        <v>0</v>
      </c>
      <c r="BE176" s="24">
        <v>0</v>
      </c>
      <c r="BF176" s="24">
        <f>176</f>
        <v>176</v>
      </c>
      <c r="BH176" s="24">
        <f>F176*AO176</f>
        <v>0</v>
      </c>
      <c r="BI176" s="24">
        <f>F176*AP176</f>
        <v>0</v>
      </c>
      <c r="BJ176" s="24">
        <f>F176*G176</f>
        <v>0</v>
      </c>
      <c r="BK176" s="24"/>
      <c r="BL176" s="24">
        <v>771</v>
      </c>
      <c r="BW176" s="24">
        <v>21</v>
      </c>
      <c r="BX176" s="4" t="s">
        <v>347</v>
      </c>
    </row>
    <row r="177" spans="1:76">
      <c r="A177" s="27"/>
      <c r="C177" s="28" t="s">
        <v>344</v>
      </c>
      <c r="D177" s="28" t="s">
        <v>51</v>
      </c>
      <c r="F177" s="29">
        <v>28.4</v>
      </c>
      <c r="K177" s="30"/>
    </row>
    <row r="178" spans="1:76">
      <c r="A178" s="27"/>
      <c r="C178" s="28" t="s">
        <v>340</v>
      </c>
      <c r="D178" s="28" t="s">
        <v>51</v>
      </c>
      <c r="F178" s="29">
        <v>0</v>
      </c>
      <c r="K178" s="30"/>
    </row>
    <row r="179" spans="1:76">
      <c r="A179" s="2" t="s">
        <v>348</v>
      </c>
      <c r="B179" s="3" t="s">
        <v>349</v>
      </c>
      <c r="C179" s="72" t="s">
        <v>350</v>
      </c>
      <c r="D179" s="67"/>
      <c r="E179" s="3" t="s">
        <v>81</v>
      </c>
      <c r="F179" s="24">
        <v>30</v>
      </c>
      <c r="G179" s="24">
        <v>0</v>
      </c>
      <c r="H179" s="24">
        <f>F179*AO179</f>
        <v>0</v>
      </c>
      <c r="I179" s="24">
        <f>F179*AP179</f>
        <v>0</v>
      </c>
      <c r="J179" s="24">
        <f>F179*G179</f>
        <v>0</v>
      </c>
      <c r="K179" s="25" t="s">
        <v>51</v>
      </c>
      <c r="Z179" s="24">
        <f>IF(AQ179="5",BJ179,0)</f>
        <v>0</v>
      </c>
      <c r="AB179" s="24">
        <f>IF(AQ179="1",BH179,0)</f>
        <v>0</v>
      </c>
      <c r="AC179" s="24">
        <f>IF(AQ179="1",BI179,0)</f>
        <v>0</v>
      </c>
      <c r="AD179" s="24">
        <f>IF(AQ179="7",BH179,0)</f>
        <v>0</v>
      </c>
      <c r="AE179" s="24">
        <f>IF(AQ179="7",BI179,0)</f>
        <v>0</v>
      </c>
      <c r="AF179" s="24">
        <f>IF(AQ179="2",BH179,0)</f>
        <v>0</v>
      </c>
      <c r="AG179" s="24">
        <f>IF(AQ179="2",BI179,0)</f>
        <v>0</v>
      </c>
      <c r="AH179" s="24">
        <f>IF(AQ179="0",BJ179,0)</f>
        <v>0</v>
      </c>
      <c r="AI179" s="10" t="s">
        <v>51</v>
      </c>
      <c r="AJ179" s="24">
        <f>IF(AN179=0,J179,0)</f>
        <v>0</v>
      </c>
      <c r="AK179" s="24">
        <f>IF(AN179=12,J179,0)</f>
        <v>0</v>
      </c>
      <c r="AL179" s="24">
        <f>IF(AN179=21,J179,0)</f>
        <v>0</v>
      </c>
      <c r="AN179" s="24">
        <v>21</v>
      </c>
      <c r="AO179" s="24">
        <f>G179*1</f>
        <v>0</v>
      </c>
      <c r="AP179" s="24">
        <f>G179*(1-1)</f>
        <v>0</v>
      </c>
      <c r="AQ179" s="26" t="s">
        <v>88</v>
      </c>
      <c r="AV179" s="24">
        <f>AW179+AX179</f>
        <v>0</v>
      </c>
      <c r="AW179" s="24">
        <f>F179*AO179</f>
        <v>0</v>
      </c>
      <c r="AX179" s="24">
        <f>F179*AP179</f>
        <v>0</v>
      </c>
      <c r="AY179" s="26" t="s">
        <v>338</v>
      </c>
      <c r="AZ179" s="26" t="s">
        <v>339</v>
      </c>
      <c r="BA179" s="10" t="s">
        <v>59</v>
      </c>
      <c r="BC179" s="24">
        <f>AW179+AX179</f>
        <v>0</v>
      </c>
      <c r="BD179" s="24">
        <f>G179/(100-BE179)*100</f>
        <v>0</v>
      </c>
      <c r="BE179" s="24">
        <v>0</v>
      </c>
      <c r="BF179" s="24">
        <f>179</f>
        <v>179</v>
      </c>
      <c r="BH179" s="24">
        <f>F179*AO179</f>
        <v>0</v>
      </c>
      <c r="BI179" s="24">
        <f>F179*AP179</f>
        <v>0</v>
      </c>
      <c r="BJ179" s="24">
        <f>F179*G179</f>
        <v>0</v>
      </c>
      <c r="BK179" s="24"/>
      <c r="BL179" s="24">
        <v>771</v>
      </c>
      <c r="BW179" s="24">
        <v>21</v>
      </c>
      <c r="BX179" s="4" t="s">
        <v>350</v>
      </c>
    </row>
    <row r="180" spans="1:76">
      <c r="A180" s="27"/>
      <c r="C180" s="28" t="s">
        <v>351</v>
      </c>
      <c r="D180" s="28" t="s">
        <v>51</v>
      </c>
      <c r="F180" s="29">
        <v>30</v>
      </c>
      <c r="K180" s="30"/>
    </row>
    <row r="181" spans="1:76">
      <c r="A181" s="2" t="s">
        <v>352</v>
      </c>
      <c r="B181" s="3" t="s">
        <v>353</v>
      </c>
      <c r="C181" s="72" t="s">
        <v>354</v>
      </c>
      <c r="D181" s="67"/>
      <c r="E181" s="3" t="s">
        <v>81</v>
      </c>
      <c r="F181" s="24">
        <v>28.4</v>
      </c>
      <c r="G181" s="24">
        <v>0</v>
      </c>
      <c r="H181" s="24">
        <f>F181*AO181</f>
        <v>0</v>
      </c>
      <c r="I181" s="24">
        <f>F181*AP181</f>
        <v>0</v>
      </c>
      <c r="J181" s="24">
        <f>F181*G181</f>
        <v>0</v>
      </c>
      <c r="K181" s="25" t="s">
        <v>71</v>
      </c>
      <c r="Z181" s="24">
        <f>IF(AQ181="5",BJ181,0)</f>
        <v>0</v>
      </c>
      <c r="AB181" s="24">
        <f>IF(AQ181="1",BH181,0)</f>
        <v>0</v>
      </c>
      <c r="AC181" s="24">
        <f>IF(AQ181="1",BI181,0)</f>
        <v>0</v>
      </c>
      <c r="AD181" s="24">
        <f>IF(AQ181="7",BH181,0)</f>
        <v>0</v>
      </c>
      <c r="AE181" s="24">
        <f>IF(AQ181="7",BI181,0)</f>
        <v>0</v>
      </c>
      <c r="AF181" s="24">
        <f>IF(AQ181="2",BH181,0)</f>
        <v>0</v>
      </c>
      <c r="AG181" s="24">
        <f>IF(AQ181="2",BI181,0)</f>
        <v>0</v>
      </c>
      <c r="AH181" s="24">
        <f>IF(AQ181="0",BJ181,0)</f>
        <v>0</v>
      </c>
      <c r="AI181" s="10" t="s">
        <v>51</v>
      </c>
      <c r="AJ181" s="24">
        <f>IF(AN181=0,J181,0)</f>
        <v>0</v>
      </c>
      <c r="AK181" s="24">
        <f>IF(AN181=12,J181,0)</f>
        <v>0</v>
      </c>
      <c r="AL181" s="24">
        <f>IF(AN181=21,J181,0)</f>
        <v>0</v>
      </c>
      <c r="AN181" s="24">
        <v>21</v>
      </c>
      <c r="AO181" s="24">
        <f>G181*0</f>
        <v>0</v>
      </c>
      <c r="AP181" s="24">
        <f>G181*(1-0)</f>
        <v>0</v>
      </c>
      <c r="AQ181" s="26" t="s">
        <v>88</v>
      </c>
      <c r="AV181" s="24">
        <f>AW181+AX181</f>
        <v>0</v>
      </c>
      <c r="AW181" s="24">
        <f>F181*AO181</f>
        <v>0</v>
      </c>
      <c r="AX181" s="24">
        <f>F181*AP181</f>
        <v>0</v>
      </c>
      <c r="AY181" s="26" t="s">
        <v>338</v>
      </c>
      <c r="AZ181" s="26" t="s">
        <v>339</v>
      </c>
      <c r="BA181" s="10" t="s">
        <v>59</v>
      </c>
      <c r="BC181" s="24">
        <f>AW181+AX181</f>
        <v>0</v>
      </c>
      <c r="BD181" s="24">
        <f>G181/(100-BE181)*100</f>
        <v>0</v>
      </c>
      <c r="BE181" s="24">
        <v>0</v>
      </c>
      <c r="BF181" s="24">
        <f>181</f>
        <v>181</v>
      </c>
      <c r="BH181" s="24">
        <f>F181*AO181</f>
        <v>0</v>
      </c>
      <c r="BI181" s="24">
        <f>F181*AP181</f>
        <v>0</v>
      </c>
      <c r="BJ181" s="24">
        <f>F181*G181</f>
        <v>0</v>
      </c>
      <c r="BK181" s="24"/>
      <c r="BL181" s="24">
        <v>771</v>
      </c>
      <c r="BW181" s="24">
        <v>21</v>
      </c>
      <c r="BX181" s="4" t="s">
        <v>354</v>
      </c>
    </row>
    <row r="182" spans="1:76">
      <c r="A182" s="27"/>
      <c r="C182" s="28" t="s">
        <v>307</v>
      </c>
      <c r="D182" s="28" t="s">
        <v>51</v>
      </c>
      <c r="F182" s="29">
        <v>9.9</v>
      </c>
      <c r="K182" s="30"/>
    </row>
    <row r="183" spans="1:76">
      <c r="A183" s="27"/>
      <c r="C183" s="28" t="s">
        <v>308</v>
      </c>
      <c r="D183" s="28" t="s">
        <v>51</v>
      </c>
      <c r="F183" s="29">
        <v>18.5</v>
      </c>
      <c r="K183" s="30"/>
    </row>
    <row r="184" spans="1:76">
      <c r="A184" s="31" t="s">
        <v>51</v>
      </c>
      <c r="B184" s="32" t="s">
        <v>355</v>
      </c>
      <c r="C184" s="88" t="s">
        <v>356</v>
      </c>
      <c r="D184" s="89"/>
      <c r="E184" s="33" t="s">
        <v>4</v>
      </c>
      <c r="F184" s="33" t="s">
        <v>4</v>
      </c>
      <c r="G184" s="33" t="s">
        <v>4</v>
      </c>
      <c r="H184" s="1">
        <f>SUM(H185:H185)</f>
        <v>0</v>
      </c>
      <c r="I184" s="1">
        <f>SUM(I185:I185)</f>
        <v>0</v>
      </c>
      <c r="J184" s="1">
        <f>SUM(J185:J185)</f>
        <v>0</v>
      </c>
      <c r="K184" s="34" t="s">
        <v>51</v>
      </c>
      <c r="AI184" s="10" t="s">
        <v>51</v>
      </c>
      <c r="AS184" s="1">
        <f>SUM(AJ185:AJ185)</f>
        <v>0</v>
      </c>
      <c r="AT184" s="1">
        <f>SUM(AK185:AK185)</f>
        <v>0</v>
      </c>
      <c r="AU184" s="1">
        <f>SUM(AL185:AL185)</f>
        <v>0</v>
      </c>
    </row>
    <row r="185" spans="1:76">
      <c r="A185" s="2" t="s">
        <v>286</v>
      </c>
      <c r="B185" s="3" t="s">
        <v>357</v>
      </c>
      <c r="C185" s="72" t="s">
        <v>358</v>
      </c>
      <c r="D185" s="67"/>
      <c r="E185" s="3" t="s">
        <v>81</v>
      </c>
      <c r="F185" s="24">
        <v>8.8559999999999999</v>
      </c>
      <c r="G185" s="24">
        <v>0</v>
      </c>
      <c r="H185" s="24">
        <f>F185*AO185</f>
        <v>0</v>
      </c>
      <c r="I185" s="24">
        <f>F185*AP185</f>
        <v>0</v>
      </c>
      <c r="J185" s="24">
        <f>F185*G185</f>
        <v>0</v>
      </c>
      <c r="K185" s="25" t="s">
        <v>51</v>
      </c>
      <c r="Z185" s="24">
        <f>IF(AQ185="5",BJ185,0)</f>
        <v>0</v>
      </c>
      <c r="AB185" s="24">
        <f>IF(AQ185="1",BH185,0)</f>
        <v>0</v>
      </c>
      <c r="AC185" s="24">
        <f>IF(AQ185="1",BI185,0)</f>
        <v>0</v>
      </c>
      <c r="AD185" s="24">
        <f>IF(AQ185="7",BH185,0)</f>
        <v>0</v>
      </c>
      <c r="AE185" s="24">
        <f>IF(AQ185="7",BI185,0)</f>
        <v>0</v>
      </c>
      <c r="AF185" s="24">
        <f>IF(AQ185="2",BH185,0)</f>
        <v>0</v>
      </c>
      <c r="AG185" s="24">
        <f>IF(AQ185="2",BI185,0)</f>
        <v>0</v>
      </c>
      <c r="AH185" s="24">
        <f>IF(AQ185="0",BJ185,0)</f>
        <v>0</v>
      </c>
      <c r="AI185" s="10" t="s">
        <v>51</v>
      </c>
      <c r="AJ185" s="24">
        <f>IF(AN185=0,J185,0)</f>
        <v>0</v>
      </c>
      <c r="AK185" s="24">
        <f>IF(AN185=12,J185,0)</f>
        <v>0</v>
      </c>
      <c r="AL185" s="24">
        <f>IF(AN185=21,J185,0)</f>
        <v>0</v>
      </c>
      <c r="AN185" s="24">
        <v>21</v>
      </c>
      <c r="AO185" s="24">
        <f>G185*0.595238095</f>
        <v>0</v>
      </c>
      <c r="AP185" s="24">
        <f>G185*(1-0.595238095)</f>
        <v>0</v>
      </c>
      <c r="AQ185" s="26" t="s">
        <v>88</v>
      </c>
      <c r="AV185" s="24">
        <f>AW185+AX185</f>
        <v>0</v>
      </c>
      <c r="AW185" s="24">
        <f>F185*AO185</f>
        <v>0</v>
      </c>
      <c r="AX185" s="24">
        <f>F185*AP185</f>
        <v>0</v>
      </c>
      <c r="AY185" s="26" t="s">
        <v>359</v>
      </c>
      <c r="AZ185" s="26" t="s">
        <v>360</v>
      </c>
      <c r="BA185" s="10" t="s">
        <v>59</v>
      </c>
      <c r="BC185" s="24">
        <f>AW185+AX185</f>
        <v>0</v>
      </c>
      <c r="BD185" s="24">
        <f>G185/(100-BE185)*100</f>
        <v>0</v>
      </c>
      <c r="BE185" s="24">
        <v>0</v>
      </c>
      <c r="BF185" s="24">
        <f>185</f>
        <v>185</v>
      </c>
      <c r="BH185" s="24">
        <f>F185*AO185</f>
        <v>0</v>
      </c>
      <c r="BI185" s="24">
        <f>F185*AP185</f>
        <v>0</v>
      </c>
      <c r="BJ185" s="24">
        <f>F185*G185</f>
        <v>0</v>
      </c>
      <c r="BK185" s="24"/>
      <c r="BL185" s="24">
        <v>781</v>
      </c>
      <c r="BW185" s="24">
        <v>21</v>
      </c>
      <c r="BX185" s="4" t="s">
        <v>358</v>
      </c>
    </row>
    <row r="186" spans="1:76">
      <c r="A186" s="27"/>
      <c r="C186" s="28" t="s">
        <v>361</v>
      </c>
      <c r="D186" s="28" t="s">
        <v>51</v>
      </c>
      <c r="F186" s="29">
        <v>8.8559999999999999</v>
      </c>
      <c r="K186" s="30"/>
    </row>
    <row r="187" spans="1:76">
      <c r="A187" s="27"/>
      <c r="C187" s="28" t="s">
        <v>362</v>
      </c>
      <c r="D187" s="28" t="s">
        <v>51</v>
      </c>
      <c r="F187" s="29">
        <v>0</v>
      </c>
      <c r="K187" s="30"/>
    </row>
    <row r="188" spans="1:76">
      <c r="A188" s="27"/>
      <c r="C188" s="28" t="s">
        <v>363</v>
      </c>
      <c r="D188" s="28" t="s">
        <v>51</v>
      </c>
      <c r="F188" s="29">
        <v>0</v>
      </c>
      <c r="K188" s="30"/>
    </row>
    <row r="189" spans="1:76">
      <c r="A189" s="31" t="s">
        <v>51</v>
      </c>
      <c r="B189" s="32" t="s">
        <v>364</v>
      </c>
      <c r="C189" s="88" t="s">
        <v>365</v>
      </c>
      <c r="D189" s="89"/>
      <c r="E189" s="33" t="s">
        <v>4</v>
      </c>
      <c r="F189" s="33" t="s">
        <v>4</v>
      </c>
      <c r="G189" s="33" t="s">
        <v>4</v>
      </c>
      <c r="H189" s="1">
        <f>SUM(H190:H200)</f>
        <v>0</v>
      </c>
      <c r="I189" s="1">
        <f>SUM(I190:I200)</f>
        <v>0</v>
      </c>
      <c r="J189" s="1">
        <f>SUM(J190:J200)</f>
        <v>0</v>
      </c>
      <c r="K189" s="34" t="s">
        <v>51</v>
      </c>
      <c r="AI189" s="10" t="s">
        <v>51</v>
      </c>
      <c r="AS189" s="1">
        <f>SUM(AJ190:AJ200)</f>
        <v>0</v>
      </c>
      <c r="AT189" s="1">
        <f>SUM(AK190:AK200)</f>
        <v>0</v>
      </c>
      <c r="AU189" s="1">
        <f>SUM(AL190:AL200)</f>
        <v>0</v>
      </c>
    </row>
    <row r="190" spans="1:76">
      <c r="A190" s="2" t="s">
        <v>366</v>
      </c>
      <c r="B190" s="3" t="s">
        <v>367</v>
      </c>
      <c r="C190" s="72" t="s">
        <v>368</v>
      </c>
      <c r="D190" s="67"/>
      <c r="E190" s="3" t="s">
        <v>81</v>
      </c>
      <c r="F190" s="24">
        <v>11.138999999999999</v>
      </c>
      <c r="G190" s="24">
        <v>0</v>
      </c>
      <c r="H190" s="24">
        <f>F190*AO190</f>
        <v>0</v>
      </c>
      <c r="I190" s="24">
        <f>F190*AP190</f>
        <v>0</v>
      </c>
      <c r="J190" s="24">
        <f>F190*G190</f>
        <v>0</v>
      </c>
      <c r="K190" s="25" t="s">
        <v>71</v>
      </c>
      <c r="Z190" s="24">
        <f>IF(AQ190="5",BJ190,0)</f>
        <v>0</v>
      </c>
      <c r="AB190" s="24">
        <f>IF(AQ190="1",BH190,0)</f>
        <v>0</v>
      </c>
      <c r="AC190" s="24">
        <f>IF(AQ190="1",BI190,0)</f>
        <v>0</v>
      </c>
      <c r="AD190" s="24">
        <f>IF(AQ190="7",BH190,0)</f>
        <v>0</v>
      </c>
      <c r="AE190" s="24">
        <f>IF(AQ190="7",BI190,0)</f>
        <v>0</v>
      </c>
      <c r="AF190" s="24">
        <f>IF(AQ190="2",BH190,0)</f>
        <v>0</v>
      </c>
      <c r="AG190" s="24">
        <f>IF(AQ190="2",BI190,0)</f>
        <v>0</v>
      </c>
      <c r="AH190" s="24">
        <f>IF(AQ190="0",BJ190,0)</f>
        <v>0</v>
      </c>
      <c r="AI190" s="10" t="s">
        <v>51</v>
      </c>
      <c r="AJ190" s="24">
        <f>IF(AN190=0,J190,0)</f>
        <v>0</v>
      </c>
      <c r="AK190" s="24">
        <f>IF(AN190=12,J190,0)</f>
        <v>0</v>
      </c>
      <c r="AL190" s="24">
        <f>IF(AN190=21,J190,0)</f>
        <v>0</v>
      </c>
      <c r="AN190" s="24">
        <v>21</v>
      </c>
      <c r="AO190" s="24">
        <f>G190*0.289127894</f>
        <v>0</v>
      </c>
      <c r="AP190" s="24">
        <f>G190*(1-0.289127894)</f>
        <v>0</v>
      </c>
      <c r="AQ190" s="26" t="s">
        <v>88</v>
      </c>
      <c r="AV190" s="24">
        <f>AW190+AX190</f>
        <v>0</v>
      </c>
      <c r="AW190" s="24">
        <f>F190*AO190</f>
        <v>0</v>
      </c>
      <c r="AX190" s="24">
        <f>F190*AP190</f>
        <v>0</v>
      </c>
      <c r="AY190" s="26" t="s">
        <v>369</v>
      </c>
      <c r="AZ190" s="26" t="s">
        <v>360</v>
      </c>
      <c r="BA190" s="10" t="s">
        <v>59</v>
      </c>
      <c r="BC190" s="24">
        <f>AW190+AX190</f>
        <v>0</v>
      </c>
      <c r="BD190" s="24">
        <f>G190/(100-BE190)*100</f>
        <v>0</v>
      </c>
      <c r="BE190" s="24">
        <v>0</v>
      </c>
      <c r="BF190" s="24">
        <f>190</f>
        <v>190</v>
      </c>
      <c r="BH190" s="24">
        <f>F190*AO190</f>
        <v>0</v>
      </c>
      <c r="BI190" s="24">
        <f>F190*AP190</f>
        <v>0</v>
      </c>
      <c r="BJ190" s="24">
        <f>F190*G190</f>
        <v>0</v>
      </c>
      <c r="BK190" s="24"/>
      <c r="BL190" s="24">
        <v>783</v>
      </c>
      <c r="BW190" s="24">
        <v>21</v>
      </c>
      <c r="BX190" s="4" t="s">
        <v>368</v>
      </c>
    </row>
    <row r="191" spans="1:76">
      <c r="A191" s="27"/>
      <c r="C191" s="28" t="s">
        <v>370</v>
      </c>
      <c r="D191" s="28" t="s">
        <v>51</v>
      </c>
      <c r="F191" s="29">
        <v>11.138999999999999</v>
      </c>
      <c r="K191" s="30"/>
    </row>
    <row r="192" spans="1:76">
      <c r="A192" s="2" t="s">
        <v>371</v>
      </c>
      <c r="B192" s="3" t="s">
        <v>372</v>
      </c>
      <c r="C192" s="72" t="s">
        <v>373</v>
      </c>
      <c r="D192" s="67"/>
      <c r="E192" s="3" t="s">
        <v>81</v>
      </c>
      <c r="F192" s="24">
        <v>4.6500000000000004</v>
      </c>
      <c r="G192" s="24">
        <v>0</v>
      </c>
      <c r="H192" s="24">
        <f>F192*AO192</f>
        <v>0</v>
      </c>
      <c r="I192" s="24">
        <f>F192*AP192</f>
        <v>0</v>
      </c>
      <c r="J192" s="24">
        <f>F192*G192</f>
        <v>0</v>
      </c>
      <c r="K192" s="25" t="s">
        <v>71</v>
      </c>
      <c r="Z192" s="24">
        <f>IF(AQ192="5",BJ192,0)</f>
        <v>0</v>
      </c>
      <c r="AB192" s="24">
        <f>IF(AQ192="1",BH192,0)</f>
        <v>0</v>
      </c>
      <c r="AC192" s="24">
        <f>IF(AQ192="1",BI192,0)</f>
        <v>0</v>
      </c>
      <c r="AD192" s="24">
        <f>IF(AQ192="7",BH192,0)</f>
        <v>0</v>
      </c>
      <c r="AE192" s="24">
        <f>IF(AQ192="7",BI192,0)</f>
        <v>0</v>
      </c>
      <c r="AF192" s="24">
        <f>IF(AQ192="2",BH192,0)</f>
        <v>0</v>
      </c>
      <c r="AG192" s="24">
        <f>IF(AQ192="2",BI192,0)</f>
        <v>0</v>
      </c>
      <c r="AH192" s="24">
        <f>IF(AQ192="0",BJ192,0)</f>
        <v>0</v>
      </c>
      <c r="AI192" s="10" t="s">
        <v>51</v>
      </c>
      <c r="AJ192" s="24">
        <f>IF(AN192=0,J192,0)</f>
        <v>0</v>
      </c>
      <c r="AK192" s="24">
        <f>IF(AN192=12,J192,0)</f>
        <v>0</v>
      </c>
      <c r="AL192" s="24">
        <f>IF(AN192=21,J192,0)</f>
        <v>0</v>
      </c>
      <c r="AN192" s="24">
        <v>21</v>
      </c>
      <c r="AO192" s="24">
        <f>G192*0.073787967</f>
        <v>0</v>
      </c>
      <c r="AP192" s="24">
        <f>G192*(1-0.073787967)</f>
        <v>0</v>
      </c>
      <c r="AQ192" s="26" t="s">
        <v>88</v>
      </c>
      <c r="AV192" s="24">
        <f>AW192+AX192</f>
        <v>0</v>
      </c>
      <c r="AW192" s="24">
        <f>F192*AO192</f>
        <v>0</v>
      </c>
      <c r="AX192" s="24">
        <f>F192*AP192</f>
        <v>0</v>
      </c>
      <c r="AY192" s="26" t="s">
        <v>369</v>
      </c>
      <c r="AZ192" s="26" t="s">
        <v>360</v>
      </c>
      <c r="BA192" s="10" t="s">
        <v>59</v>
      </c>
      <c r="BC192" s="24">
        <f>AW192+AX192</f>
        <v>0</v>
      </c>
      <c r="BD192" s="24">
        <f>G192/(100-BE192)*100</f>
        <v>0</v>
      </c>
      <c r="BE192" s="24">
        <v>0</v>
      </c>
      <c r="BF192" s="24">
        <f>192</f>
        <v>192</v>
      </c>
      <c r="BH192" s="24">
        <f>F192*AO192</f>
        <v>0</v>
      </c>
      <c r="BI192" s="24">
        <f>F192*AP192</f>
        <v>0</v>
      </c>
      <c r="BJ192" s="24">
        <f>F192*G192</f>
        <v>0</v>
      </c>
      <c r="BK192" s="24"/>
      <c r="BL192" s="24">
        <v>783</v>
      </c>
      <c r="BW192" s="24">
        <v>21</v>
      </c>
      <c r="BX192" s="4" t="s">
        <v>373</v>
      </c>
    </row>
    <row r="193" spans="1:76">
      <c r="A193" s="27"/>
      <c r="C193" s="28" t="s">
        <v>374</v>
      </c>
      <c r="D193" s="28" t="s">
        <v>51</v>
      </c>
      <c r="F193" s="29">
        <v>4.6500000000000004</v>
      </c>
      <c r="K193" s="30"/>
    </row>
    <row r="194" spans="1:76">
      <c r="A194" s="2" t="s">
        <v>375</v>
      </c>
      <c r="B194" s="3" t="s">
        <v>376</v>
      </c>
      <c r="C194" s="72" t="s">
        <v>377</v>
      </c>
      <c r="D194" s="67"/>
      <c r="E194" s="3" t="s">
        <v>81</v>
      </c>
      <c r="F194" s="24">
        <v>4.6500000000000004</v>
      </c>
      <c r="G194" s="24">
        <v>0</v>
      </c>
      <c r="H194" s="24">
        <f>F194*AO194</f>
        <v>0</v>
      </c>
      <c r="I194" s="24">
        <f>F194*AP194</f>
        <v>0</v>
      </c>
      <c r="J194" s="24">
        <f>F194*G194</f>
        <v>0</v>
      </c>
      <c r="K194" s="25" t="s">
        <v>71</v>
      </c>
      <c r="Z194" s="24">
        <f>IF(AQ194="5",BJ194,0)</f>
        <v>0</v>
      </c>
      <c r="AB194" s="24">
        <f>IF(AQ194="1",BH194,0)</f>
        <v>0</v>
      </c>
      <c r="AC194" s="24">
        <f>IF(AQ194="1",BI194,0)</f>
        <v>0</v>
      </c>
      <c r="AD194" s="24">
        <f>IF(AQ194="7",BH194,0)</f>
        <v>0</v>
      </c>
      <c r="AE194" s="24">
        <f>IF(AQ194="7",BI194,0)</f>
        <v>0</v>
      </c>
      <c r="AF194" s="24">
        <f>IF(AQ194="2",BH194,0)</f>
        <v>0</v>
      </c>
      <c r="AG194" s="24">
        <f>IF(AQ194="2",BI194,0)</f>
        <v>0</v>
      </c>
      <c r="AH194" s="24">
        <f>IF(AQ194="0",BJ194,0)</f>
        <v>0</v>
      </c>
      <c r="AI194" s="10" t="s">
        <v>51</v>
      </c>
      <c r="AJ194" s="24">
        <f>IF(AN194=0,J194,0)</f>
        <v>0</v>
      </c>
      <c r="AK194" s="24">
        <f>IF(AN194=12,J194,0)</f>
        <v>0</v>
      </c>
      <c r="AL194" s="24">
        <f>IF(AN194=21,J194,0)</f>
        <v>0</v>
      </c>
      <c r="AN194" s="24">
        <v>21</v>
      </c>
      <c r="AO194" s="24">
        <f>G194*0.101374016</f>
        <v>0</v>
      </c>
      <c r="AP194" s="24">
        <f>G194*(1-0.101374016)</f>
        <v>0</v>
      </c>
      <c r="AQ194" s="26" t="s">
        <v>88</v>
      </c>
      <c r="AV194" s="24">
        <f>AW194+AX194</f>
        <v>0</v>
      </c>
      <c r="AW194" s="24">
        <f>F194*AO194</f>
        <v>0</v>
      </c>
      <c r="AX194" s="24">
        <f>F194*AP194</f>
        <v>0</v>
      </c>
      <c r="AY194" s="26" t="s">
        <v>369</v>
      </c>
      <c r="AZ194" s="26" t="s">
        <v>360</v>
      </c>
      <c r="BA194" s="10" t="s">
        <v>59</v>
      </c>
      <c r="BC194" s="24">
        <f>AW194+AX194</f>
        <v>0</v>
      </c>
      <c r="BD194" s="24">
        <f>G194/(100-BE194)*100</f>
        <v>0</v>
      </c>
      <c r="BE194" s="24">
        <v>0</v>
      </c>
      <c r="BF194" s="24">
        <f>194</f>
        <v>194</v>
      </c>
      <c r="BH194" s="24">
        <f>F194*AO194</f>
        <v>0</v>
      </c>
      <c r="BI194" s="24">
        <f>F194*AP194</f>
        <v>0</v>
      </c>
      <c r="BJ194" s="24">
        <f>F194*G194</f>
        <v>0</v>
      </c>
      <c r="BK194" s="24"/>
      <c r="BL194" s="24">
        <v>783</v>
      </c>
      <c r="BW194" s="24">
        <v>21</v>
      </c>
      <c r="BX194" s="4" t="s">
        <v>377</v>
      </c>
    </row>
    <row r="195" spans="1:76">
      <c r="A195" s="27"/>
      <c r="C195" s="28" t="s">
        <v>378</v>
      </c>
      <c r="D195" s="28" t="s">
        <v>51</v>
      </c>
      <c r="F195" s="29">
        <v>4.6500000000000004</v>
      </c>
      <c r="K195" s="30"/>
    </row>
    <row r="196" spans="1:76">
      <c r="A196" s="2" t="s">
        <v>294</v>
      </c>
      <c r="B196" s="3" t="s">
        <v>379</v>
      </c>
      <c r="C196" s="72" t="s">
        <v>380</v>
      </c>
      <c r="D196" s="67"/>
      <c r="E196" s="3" t="s">
        <v>81</v>
      </c>
      <c r="F196" s="24">
        <v>4.6500000000000004</v>
      </c>
      <c r="G196" s="24">
        <v>0</v>
      </c>
      <c r="H196" s="24">
        <f>F196*AO196</f>
        <v>0</v>
      </c>
      <c r="I196" s="24">
        <f>F196*AP196</f>
        <v>0</v>
      </c>
      <c r="J196" s="24">
        <f>F196*G196</f>
        <v>0</v>
      </c>
      <c r="K196" s="25" t="s">
        <v>71</v>
      </c>
      <c r="Z196" s="24">
        <f>IF(AQ196="5",BJ196,0)</f>
        <v>0</v>
      </c>
      <c r="AB196" s="24">
        <f>IF(AQ196="1",BH196,0)</f>
        <v>0</v>
      </c>
      <c r="AC196" s="24">
        <f>IF(AQ196="1",BI196,0)</f>
        <v>0</v>
      </c>
      <c r="AD196" s="24">
        <f>IF(AQ196="7",BH196,0)</f>
        <v>0</v>
      </c>
      <c r="AE196" s="24">
        <f>IF(AQ196="7",BI196,0)</f>
        <v>0</v>
      </c>
      <c r="AF196" s="24">
        <f>IF(AQ196="2",BH196,0)</f>
        <v>0</v>
      </c>
      <c r="AG196" s="24">
        <f>IF(AQ196="2",BI196,0)</f>
        <v>0</v>
      </c>
      <c r="AH196" s="24">
        <f>IF(AQ196="0",BJ196,0)</f>
        <v>0</v>
      </c>
      <c r="AI196" s="10" t="s">
        <v>51</v>
      </c>
      <c r="AJ196" s="24">
        <f>IF(AN196=0,J196,0)</f>
        <v>0</v>
      </c>
      <c r="AK196" s="24">
        <f>IF(AN196=12,J196,0)</f>
        <v>0</v>
      </c>
      <c r="AL196" s="24">
        <f>IF(AN196=21,J196,0)</f>
        <v>0</v>
      </c>
      <c r="AN196" s="24">
        <v>21</v>
      </c>
      <c r="AO196" s="24">
        <f>G196*0.148467433</f>
        <v>0</v>
      </c>
      <c r="AP196" s="24">
        <f>G196*(1-0.148467433)</f>
        <v>0</v>
      </c>
      <c r="AQ196" s="26" t="s">
        <v>88</v>
      </c>
      <c r="AV196" s="24">
        <f>AW196+AX196</f>
        <v>0</v>
      </c>
      <c r="AW196" s="24">
        <f>F196*AO196</f>
        <v>0</v>
      </c>
      <c r="AX196" s="24">
        <f>F196*AP196</f>
        <v>0</v>
      </c>
      <c r="AY196" s="26" t="s">
        <v>369</v>
      </c>
      <c r="AZ196" s="26" t="s">
        <v>360</v>
      </c>
      <c r="BA196" s="10" t="s">
        <v>59</v>
      </c>
      <c r="BC196" s="24">
        <f>AW196+AX196</f>
        <v>0</v>
      </c>
      <c r="BD196" s="24">
        <f>G196/(100-BE196)*100</f>
        <v>0</v>
      </c>
      <c r="BE196" s="24">
        <v>0</v>
      </c>
      <c r="BF196" s="24">
        <f>196</f>
        <v>196</v>
      </c>
      <c r="BH196" s="24">
        <f>F196*AO196</f>
        <v>0</v>
      </c>
      <c r="BI196" s="24">
        <f>F196*AP196</f>
        <v>0</v>
      </c>
      <c r="BJ196" s="24">
        <f>F196*G196</f>
        <v>0</v>
      </c>
      <c r="BK196" s="24"/>
      <c r="BL196" s="24">
        <v>783</v>
      </c>
      <c r="BW196" s="24">
        <v>21</v>
      </c>
      <c r="BX196" s="4" t="s">
        <v>380</v>
      </c>
    </row>
    <row r="197" spans="1:76">
      <c r="A197" s="27"/>
      <c r="C197" s="28" t="s">
        <v>378</v>
      </c>
      <c r="D197" s="28" t="s">
        <v>51</v>
      </c>
      <c r="F197" s="29">
        <v>4.6500000000000004</v>
      </c>
      <c r="K197" s="30"/>
    </row>
    <row r="198" spans="1:76">
      <c r="A198" s="2" t="s">
        <v>309</v>
      </c>
      <c r="B198" s="3" t="s">
        <v>381</v>
      </c>
      <c r="C198" s="72" t="s">
        <v>382</v>
      </c>
      <c r="D198" s="67"/>
      <c r="E198" s="3" t="s">
        <v>81</v>
      </c>
      <c r="F198" s="24">
        <v>4.6500000000000004</v>
      </c>
      <c r="G198" s="24">
        <v>0</v>
      </c>
      <c r="H198" s="24">
        <f>F198*AO198</f>
        <v>0</v>
      </c>
      <c r="I198" s="24">
        <f>F198*AP198</f>
        <v>0</v>
      </c>
      <c r="J198" s="24">
        <f>F198*G198</f>
        <v>0</v>
      </c>
      <c r="K198" s="25" t="s">
        <v>71</v>
      </c>
      <c r="Z198" s="24">
        <f>IF(AQ198="5",BJ198,0)</f>
        <v>0</v>
      </c>
      <c r="AB198" s="24">
        <f>IF(AQ198="1",BH198,0)</f>
        <v>0</v>
      </c>
      <c r="AC198" s="24">
        <f>IF(AQ198="1",BI198,0)</f>
        <v>0</v>
      </c>
      <c r="AD198" s="24">
        <f>IF(AQ198="7",BH198,0)</f>
        <v>0</v>
      </c>
      <c r="AE198" s="24">
        <f>IF(AQ198="7",BI198,0)</f>
        <v>0</v>
      </c>
      <c r="AF198" s="24">
        <f>IF(AQ198="2",BH198,0)</f>
        <v>0</v>
      </c>
      <c r="AG198" s="24">
        <f>IF(AQ198="2",BI198,0)</f>
        <v>0</v>
      </c>
      <c r="AH198" s="24">
        <f>IF(AQ198="0",BJ198,0)</f>
        <v>0</v>
      </c>
      <c r="AI198" s="10" t="s">
        <v>51</v>
      </c>
      <c r="AJ198" s="24">
        <f>IF(AN198=0,J198,0)</f>
        <v>0</v>
      </c>
      <c r="AK198" s="24">
        <f>IF(AN198=12,J198,0)</f>
        <v>0</v>
      </c>
      <c r="AL198" s="24">
        <f>IF(AN198=21,J198,0)</f>
        <v>0</v>
      </c>
      <c r="AN198" s="24">
        <v>21</v>
      </c>
      <c r="AO198" s="24">
        <f>G198*0.479214485</f>
        <v>0</v>
      </c>
      <c r="AP198" s="24">
        <f>G198*(1-0.479214485)</f>
        <v>0</v>
      </c>
      <c r="AQ198" s="26" t="s">
        <v>88</v>
      </c>
      <c r="AV198" s="24">
        <f>AW198+AX198</f>
        <v>0</v>
      </c>
      <c r="AW198" s="24">
        <f>F198*AO198</f>
        <v>0</v>
      </c>
      <c r="AX198" s="24">
        <f>F198*AP198</f>
        <v>0</v>
      </c>
      <c r="AY198" s="26" t="s">
        <v>369</v>
      </c>
      <c r="AZ198" s="26" t="s">
        <v>360</v>
      </c>
      <c r="BA198" s="10" t="s">
        <v>59</v>
      </c>
      <c r="BC198" s="24">
        <f>AW198+AX198</f>
        <v>0</v>
      </c>
      <c r="BD198" s="24">
        <f>G198/(100-BE198)*100</f>
        <v>0</v>
      </c>
      <c r="BE198" s="24">
        <v>0</v>
      </c>
      <c r="BF198" s="24">
        <f>198</f>
        <v>198</v>
      </c>
      <c r="BH198" s="24">
        <f>F198*AO198</f>
        <v>0</v>
      </c>
      <c r="BI198" s="24">
        <f>F198*AP198</f>
        <v>0</v>
      </c>
      <c r="BJ198" s="24">
        <f>F198*G198</f>
        <v>0</v>
      </c>
      <c r="BK198" s="24"/>
      <c r="BL198" s="24">
        <v>783</v>
      </c>
      <c r="BW198" s="24">
        <v>21</v>
      </c>
      <c r="BX198" s="4" t="s">
        <v>382</v>
      </c>
    </row>
    <row r="199" spans="1:76">
      <c r="A199" s="27"/>
      <c r="C199" s="28" t="s">
        <v>383</v>
      </c>
      <c r="D199" s="28" t="s">
        <v>51</v>
      </c>
      <c r="F199" s="29">
        <v>4.6500000000000004</v>
      </c>
      <c r="K199" s="30"/>
    </row>
    <row r="200" spans="1:76">
      <c r="A200" s="2" t="s">
        <v>384</v>
      </c>
      <c r="B200" s="3" t="s">
        <v>385</v>
      </c>
      <c r="C200" s="72" t="s">
        <v>386</v>
      </c>
      <c r="D200" s="67"/>
      <c r="E200" s="3" t="s">
        <v>81</v>
      </c>
      <c r="F200" s="24">
        <v>4.6500000000000004</v>
      </c>
      <c r="G200" s="24">
        <v>0</v>
      </c>
      <c r="H200" s="24">
        <f>F200*AO200</f>
        <v>0</v>
      </c>
      <c r="I200" s="24">
        <f>F200*AP200</f>
        <v>0</v>
      </c>
      <c r="J200" s="24">
        <f>F200*G200</f>
        <v>0</v>
      </c>
      <c r="K200" s="25" t="s">
        <v>71</v>
      </c>
      <c r="Z200" s="24">
        <f>IF(AQ200="5",BJ200,0)</f>
        <v>0</v>
      </c>
      <c r="AB200" s="24">
        <f>IF(AQ200="1",BH200,0)</f>
        <v>0</v>
      </c>
      <c r="AC200" s="24">
        <f>IF(AQ200="1",BI200,0)</f>
        <v>0</v>
      </c>
      <c r="AD200" s="24">
        <f>IF(AQ200="7",BH200,0)</f>
        <v>0</v>
      </c>
      <c r="AE200" s="24">
        <f>IF(AQ200="7",BI200,0)</f>
        <v>0</v>
      </c>
      <c r="AF200" s="24">
        <f>IF(AQ200="2",BH200,0)</f>
        <v>0</v>
      </c>
      <c r="AG200" s="24">
        <f>IF(AQ200="2",BI200,0)</f>
        <v>0</v>
      </c>
      <c r="AH200" s="24">
        <f>IF(AQ200="0",BJ200,0)</f>
        <v>0</v>
      </c>
      <c r="AI200" s="10" t="s">
        <v>51</v>
      </c>
      <c r="AJ200" s="24">
        <f>IF(AN200=0,J200,0)</f>
        <v>0</v>
      </c>
      <c r="AK200" s="24">
        <f>IF(AN200=12,J200,0)</f>
        <v>0</v>
      </c>
      <c r="AL200" s="24">
        <f>IF(AN200=21,J200,0)</f>
        <v>0</v>
      </c>
      <c r="AN200" s="24">
        <v>21</v>
      </c>
      <c r="AO200" s="24">
        <f>G200*0.589288408</f>
        <v>0</v>
      </c>
      <c r="AP200" s="24">
        <f>G200*(1-0.589288408)</f>
        <v>0</v>
      </c>
      <c r="AQ200" s="26" t="s">
        <v>88</v>
      </c>
      <c r="AV200" s="24">
        <f>AW200+AX200</f>
        <v>0</v>
      </c>
      <c r="AW200" s="24">
        <f>F200*AO200</f>
        <v>0</v>
      </c>
      <c r="AX200" s="24">
        <f>F200*AP200</f>
        <v>0</v>
      </c>
      <c r="AY200" s="26" t="s">
        <v>369</v>
      </c>
      <c r="AZ200" s="26" t="s">
        <v>360</v>
      </c>
      <c r="BA200" s="10" t="s">
        <v>59</v>
      </c>
      <c r="BC200" s="24">
        <f>AW200+AX200</f>
        <v>0</v>
      </c>
      <c r="BD200" s="24">
        <f>G200/(100-BE200)*100</f>
        <v>0</v>
      </c>
      <c r="BE200" s="24">
        <v>0</v>
      </c>
      <c r="BF200" s="24">
        <f>200</f>
        <v>200</v>
      </c>
      <c r="BH200" s="24">
        <f>F200*AO200</f>
        <v>0</v>
      </c>
      <c r="BI200" s="24">
        <f>F200*AP200</f>
        <v>0</v>
      </c>
      <c r="BJ200" s="24">
        <f>F200*G200</f>
        <v>0</v>
      </c>
      <c r="BK200" s="24"/>
      <c r="BL200" s="24">
        <v>783</v>
      </c>
      <c r="BW200" s="24">
        <v>21</v>
      </c>
      <c r="BX200" s="4" t="s">
        <v>386</v>
      </c>
    </row>
    <row r="201" spans="1:76">
      <c r="A201" s="27"/>
      <c r="C201" s="28" t="s">
        <v>383</v>
      </c>
      <c r="D201" s="28" t="s">
        <v>51</v>
      </c>
      <c r="F201" s="29">
        <v>4.6500000000000004</v>
      </c>
      <c r="K201" s="30"/>
    </row>
    <row r="202" spans="1:76">
      <c r="A202" s="31" t="s">
        <v>51</v>
      </c>
      <c r="B202" s="32" t="s">
        <v>387</v>
      </c>
      <c r="C202" s="88" t="s">
        <v>388</v>
      </c>
      <c r="D202" s="89"/>
      <c r="E202" s="33" t="s">
        <v>4</v>
      </c>
      <c r="F202" s="33" t="s">
        <v>4</v>
      </c>
      <c r="G202" s="33" t="s">
        <v>4</v>
      </c>
      <c r="H202" s="1">
        <f>SUM(H203:H207)</f>
        <v>0</v>
      </c>
      <c r="I202" s="1">
        <f>SUM(I203:I207)</f>
        <v>0</v>
      </c>
      <c r="J202" s="1">
        <f>SUM(J203:J207)</f>
        <v>0</v>
      </c>
      <c r="K202" s="34" t="s">
        <v>51</v>
      </c>
      <c r="AI202" s="10" t="s">
        <v>51</v>
      </c>
      <c r="AS202" s="1">
        <f>SUM(AJ203:AJ207)</f>
        <v>0</v>
      </c>
      <c r="AT202" s="1">
        <f>SUM(AK203:AK207)</f>
        <v>0</v>
      </c>
      <c r="AU202" s="1">
        <f>SUM(AL203:AL207)</f>
        <v>0</v>
      </c>
    </row>
    <row r="203" spans="1:76">
      <c r="A203" s="2" t="s">
        <v>389</v>
      </c>
      <c r="B203" s="3" t="s">
        <v>390</v>
      </c>
      <c r="C203" s="72" t="s">
        <v>391</v>
      </c>
      <c r="D203" s="67"/>
      <c r="E203" s="3" t="s">
        <v>81</v>
      </c>
      <c r="F203" s="24">
        <v>57.994999999999997</v>
      </c>
      <c r="G203" s="24">
        <v>0</v>
      </c>
      <c r="H203" s="24">
        <f>F203*AO203</f>
        <v>0</v>
      </c>
      <c r="I203" s="24">
        <f>F203*AP203</f>
        <v>0</v>
      </c>
      <c r="J203" s="24">
        <f>F203*G203</f>
        <v>0</v>
      </c>
      <c r="K203" s="25" t="s">
        <v>71</v>
      </c>
      <c r="Z203" s="24">
        <f>IF(AQ203="5",BJ203,0)</f>
        <v>0</v>
      </c>
      <c r="AB203" s="24">
        <f>IF(AQ203="1",BH203,0)</f>
        <v>0</v>
      </c>
      <c r="AC203" s="24">
        <f>IF(AQ203="1",BI203,0)</f>
        <v>0</v>
      </c>
      <c r="AD203" s="24">
        <f>IF(AQ203="7",BH203,0)</f>
        <v>0</v>
      </c>
      <c r="AE203" s="24">
        <f>IF(AQ203="7",BI203,0)</f>
        <v>0</v>
      </c>
      <c r="AF203" s="24">
        <f>IF(AQ203="2",BH203,0)</f>
        <v>0</v>
      </c>
      <c r="AG203" s="24">
        <f>IF(AQ203="2",BI203,0)</f>
        <v>0</v>
      </c>
      <c r="AH203" s="24">
        <f>IF(AQ203="0",BJ203,0)</f>
        <v>0</v>
      </c>
      <c r="AI203" s="10" t="s">
        <v>51</v>
      </c>
      <c r="AJ203" s="24">
        <f>IF(AN203=0,J203,0)</f>
        <v>0</v>
      </c>
      <c r="AK203" s="24">
        <f>IF(AN203=12,J203,0)</f>
        <v>0</v>
      </c>
      <c r="AL203" s="24">
        <f>IF(AN203=21,J203,0)</f>
        <v>0</v>
      </c>
      <c r="AN203" s="24">
        <v>21</v>
      </c>
      <c r="AO203" s="24">
        <f>G203*0.423040862</f>
        <v>0</v>
      </c>
      <c r="AP203" s="24">
        <f>G203*(1-0.423040862)</f>
        <v>0</v>
      </c>
      <c r="AQ203" s="26" t="s">
        <v>88</v>
      </c>
      <c r="AV203" s="24">
        <f>AW203+AX203</f>
        <v>0</v>
      </c>
      <c r="AW203" s="24">
        <f>F203*AO203</f>
        <v>0</v>
      </c>
      <c r="AX203" s="24">
        <f>F203*AP203</f>
        <v>0</v>
      </c>
      <c r="AY203" s="26" t="s">
        <v>392</v>
      </c>
      <c r="AZ203" s="26" t="s">
        <v>360</v>
      </c>
      <c r="BA203" s="10" t="s">
        <v>59</v>
      </c>
      <c r="BC203" s="24">
        <f>AW203+AX203</f>
        <v>0</v>
      </c>
      <c r="BD203" s="24">
        <f>G203/(100-BE203)*100</f>
        <v>0</v>
      </c>
      <c r="BE203" s="24">
        <v>0</v>
      </c>
      <c r="BF203" s="24">
        <f>203</f>
        <v>203</v>
      </c>
      <c r="BH203" s="24">
        <f>F203*AO203</f>
        <v>0</v>
      </c>
      <c r="BI203" s="24">
        <f>F203*AP203</f>
        <v>0</v>
      </c>
      <c r="BJ203" s="24">
        <f>F203*G203</f>
        <v>0</v>
      </c>
      <c r="BK203" s="24"/>
      <c r="BL203" s="24">
        <v>784</v>
      </c>
      <c r="BW203" s="24">
        <v>21</v>
      </c>
      <c r="BX203" s="4" t="s">
        <v>391</v>
      </c>
    </row>
    <row r="204" spans="1:76">
      <c r="A204" s="27"/>
      <c r="C204" s="28" t="s">
        <v>393</v>
      </c>
      <c r="D204" s="28" t="s">
        <v>51</v>
      </c>
      <c r="F204" s="29">
        <v>29.594999999999999</v>
      </c>
      <c r="K204" s="30"/>
    </row>
    <row r="205" spans="1:76">
      <c r="A205" s="27"/>
      <c r="C205" s="28" t="s">
        <v>394</v>
      </c>
      <c r="D205" s="28" t="s">
        <v>51</v>
      </c>
      <c r="F205" s="29">
        <v>28.4</v>
      </c>
      <c r="K205" s="30"/>
    </row>
    <row r="206" spans="1:76">
      <c r="A206" s="27"/>
      <c r="C206" s="28" t="s">
        <v>395</v>
      </c>
      <c r="D206" s="28" t="s">
        <v>51</v>
      </c>
      <c r="F206" s="29">
        <v>0</v>
      </c>
      <c r="K206" s="30"/>
    </row>
    <row r="207" spans="1:76">
      <c r="A207" s="2" t="s">
        <v>396</v>
      </c>
      <c r="B207" s="3" t="s">
        <v>397</v>
      </c>
      <c r="C207" s="72" t="s">
        <v>398</v>
      </c>
      <c r="D207" s="67"/>
      <c r="E207" s="3" t="s">
        <v>81</v>
      </c>
      <c r="F207" s="24">
        <v>57.994999999999997</v>
      </c>
      <c r="G207" s="24">
        <v>0</v>
      </c>
      <c r="H207" s="24">
        <f>F207*AO207</f>
        <v>0</v>
      </c>
      <c r="I207" s="24">
        <f>F207*AP207</f>
        <v>0</v>
      </c>
      <c r="J207" s="24">
        <f>F207*G207</f>
        <v>0</v>
      </c>
      <c r="K207" s="25" t="s">
        <v>71</v>
      </c>
      <c r="Z207" s="24">
        <f>IF(AQ207="5",BJ207,0)</f>
        <v>0</v>
      </c>
      <c r="AB207" s="24">
        <f>IF(AQ207="1",BH207,0)</f>
        <v>0</v>
      </c>
      <c r="AC207" s="24">
        <f>IF(AQ207="1",BI207,0)</f>
        <v>0</v>
      </c>
      <c r="AD207" s="24">
        <f>IF(AQ207="7",BH207,0)</f>
        <v>0</v>
      </c>
      <c r="AE207" s="24">
        <f>IF(AQ207="7",BI207,0)</f>
        <v>0</v>
      </c>
      <c r="AF207" s="24">
        <f>IF(AQ207="2",BH207,0)</f>
        <v>0</v>
      </c>
      <c r="AG207" s="24">
        <f>IF(AQ207="2",BI207,0)</f>
        <v>0</v>
      </c>
      <c r="AH207" s="24">
        <f>IF(AQ207="0",BJ207,0)</f>
        <v>0</v>
      </c>
      <c r="AI207" s="10" t="s">
        <v>51</v>
      </c>
      <c r="AJ207" s="24">
        <f>IF(AN207=0,J207,0)</f>
        <v>0</v>
      </c>
      <c r="AK207" s="24">
        <f>IF(AN207=12,J207,0)</f>
        <v>0</v>
      </c>
      <c r="AL207" s="24">
        <f>IF(AN207=21,J207,0)</f>
        <v>0</v>
      </c>
      <c r="AN207" s="24">
        <v>21</v>
      </c>
      <c r="AO207" s="24">
        <f>G207*0.296309869</f>
        <v>0</v>
      </c>
      <c r="AP207" s="24">
        <f>G207*(1-0.296309869)</f>
        <v>0</v>
      </c>
      <c r="AQ207" s="26" t="s">
        <v>88</v>
      </c>
      <c r="AV207" s="24">
        <f>AW207+AX207</f>
        <v>0</v>
      </c>
      <c r="AW207" s="24">
        <f>F207*AO207</f>
        <v>0</v>
      </c>
      <c r="AX207" s="24">
        <f>F207*AP207</f>
        <v>0</v>
      </c>
      <c r="AY207" s="26" t="s">
        <v>392</v>
      </c>
      <c r="AZ207" s="26" t="s">
        <v>360</v>
      </c>
      <c r="BA207" s="10" t="s">
        <v>59</v>
      </c>
      <c r="BC207" s="24">
        <f>AW207+AX207</f>
        <v>0</v>
      </c>
      <c r="BD207" s="24">
        <f>G207/(100-BE207)*100</f>
        <v>0</v>
      </c>
      <c r="BE207" s="24">
        <v>0</v>
      </c>
      <c r="BF207" s="24">
        <f>207</f>
        <v>207</v>
      </c>
      <c r="BH207" s="24">
        <f>F207*AO207</f>
        <v>0</v>
      </c>
      <c r="BI207" s="24">
        <f>F207*AP207</f>
        <v>0</v>
      </c>
      <c r="BJ207" s="24">
        <f>F207*G207</f>
        <v>0</v>
      </c>
      <c r="BK207" s="24"/>
      <c r="BL207" s="24">
        <v>784</v>
      </c>
      <c r="BW207" s="24">
        <v>21</v>
      </c>
      <c r="BX207" s="4" t="s">
        <v>398</v>
      </c>
    </row>
    <row r="208" spans="1:76">
      <c r="A208" s="27"/>
      <c r="C208" s="28" t="s">
        <v>399</v>
      </c>
      <c r="D208" s="28" t="s">
        <v>51</v>
      </c>
      <c r="F208" s="29">
        <v>57.994999999999997</v>
      </c>
      <c r="K208" s="30"/>
    </row>
    <row r="209" spans="1:76">
      <c r="A209" s="31" t="s">
        <v>51</v>
      </c>
      <c r="B209" s="32" t="s">
        <v>400</v>
      </c>
      <c r="C209" s="88" t="s">
        <v>401</v>
      </c>
      <c r="D209" s="89"/>
      <c r="E209" s="33" t="s">
        <v>4</v>
      </c>
      <c r="F209" s="33" t="s">
        <v>4</v>
      </c>
      <c r="G209" s="33" t="s">
        <v>4</v>
      </c>
      <c r="H209" s="1">
        <f>SUM(H210:H243)</f>
        <v>0</v>
      </c>
      <c r="I209" s="1">
        <f>SUM(I210:I243)</f>
        <v>0</v>
      </c>
      <c r="J209" s="1">
        <f>SUM(J210:J243)</f>
        <v>0</v>
      </c>
      <c r="K209" s="34" t="s">
        <v>51</v>
      </c>
      <c r="AI209" s="10" t="s">
        <v>51</v>
      </c>
      <c r="AS209" s="1">
        <f>SUM(AJ210:AJ243)</f>
        <v>0</v>
      </c>
      <c r="AT209" s="1">
        <f>SUM(AK210:AK243)</f>
        <v>0</v>
      </c>
      <c r="AU209" s="1">
        <f>SUM(AL210:AL243)</f>
        <v>0</v>
      </c>
    </row>
    <row r="210" spans="1:76">
      <c r="A210" s="2" t="s">
        <v>402</v>
      </c>
      <c r="B210" s="3" t="s">
        <v>403</v>
      </c>
      <c r="C210" s="72" t="s">
        <v>404</v>
      </c>
      <c r="D210" s="67"/>
      <c r="E210" s="3" t="s">
        <v>122</v>
      </c>
      <c r="F210" s="24">
        <v>7</v>
      </c>
      <c r="G210" s="24">
        <v>0</v>
      </c>
      <c r="H210" s="24">
        <f>F210*AO210</f>
        <v>0</v>
      </c>
      <c r="I210" s="24">
        <f>F210*AP210</f>
        <v>0</v>
      </c>
      <c r="J210" s="24">
        <f>F210*G210</f>
        <v>0</v>
      </c>
      <c r="K210" s="25" t="s">
        <v>71</v>
      </c>
      <c r="Z210" s="24">
        <f>IF(AQ210="5",BJ210,0)</f>
        <v>0</v>
      </c>
      <c r="AB210" s="24">
        <f>IF(AQ210="1",BH210,0)</f>
        <v>0</v>
      </c>
      <c r="AC210" s="24">
        <f>IF(AQ210="1",BI210,0)</f>
        <v>0</v>
      </c>
      <c r="AD210" s="24">
        <f>IF(AQ210="7",BH210,0)</f>
        <v>0</v>
      </c>
      <c r="AE210" s="24">
        <f>IF(AQ210="7",BI210,0)</f>
        <v>0</v>
      </c>
      <c r="AF210" s="24">
        <f>IF(AQ210="2",BH210,0)</f>
        <v>0</v>
      </c>
      <c r="AG210" s="24">
        <f>IF(AQ210="2",BI210,0)</f>
        <v>0</v>
      </c>
      <c r="AH210" s="24">
        <f>IF(AQ210="0",BJ210,0)</f>
        <v>0</v>
      </c>
      <c r="AI210" s="10" t="s">
        <v>51</v>
      </c>
      <c r="AJ210" s="24">
        <f>IF(AN210=0,J210,0)</f>
        <v>0</v>
      </c>
      <c r="AK210" s="24">
        <f>IF(AN210=12,J210,0)</f>
        <v>0</v>
      </c>
      <c r="AL210" s="24">
        <f>IF(AN210=21,J210,0)</f>
        <v>0</v>
      </c>
      <c r="AN210" s="24">
        <v>21</v>
      </c>
      <c r="AO210" s="24">
        <f>G210*0.000029761</f>
        <v>0</v>
      </c>
      <c r="AP210" s="24">
        <f>G210*(1-0.000029761)</f>
        <v>0</v>
      </c>
      <c r="AQ210" s="26" t="s">
        <v>54</v>
      </c>
      <c r="AV210" s="24">
        <f>AW210+AX210</f>
        <v>0</v>
      </c>
      <c r="AW210" s="24">
        <f>F210*AO210</f>
        <v>0</v>
      </c>
      <c r="AX210" s="24">
        <f>F210*AP210</f>
        <v>0</v>
      </c>
      <c r="AY210" s="26" t="s">
        <v>405</v>
      </c>
      <c r="AZ210" s="26" t="s">
        <v>406</v>
      </c>
      <c r="BA210" s="10" t="s">
        <v>59</v>
      </c>
      <c r="BC210" s="24">
        <f>AW210+AX210</f>
        <v>0</v>
      </c>
      <c r="BD210" s="24">
        <f>G210/(100-BE210)*100</f>
        <v>0</v>
      </c>
      <c r="BE210" s="24">
        <v>0</v>
      </c>
      <c r="BF210" s="24">
        <f>210</f>
        <v>210</v>
      </c>
      <c r="BH210" s="24">
        <f>F210*AO210</f>
        <v>0</v>
      </c>
      <c r="BI210" s="24">
        <f>F210*AP210</f>
        <v>0</v>
      </c>
      <c r="BJ210" s="24">
        <f>F210*G210</f>
        <v>0</v>
      </c>
      <c r="BK210" s="24"/>
      <c r="BL210" s="24">
        <v>85</v>
      </c>
      <c r="BW210" s="24">
        <v>21</v>
      </c>
      <c r="BX210" s="4" t="s">
        <v>404</v>
      </c>
    </row>
    <row r="211" spans="1:76">
      <c r="A211" s="27"/>
      <c r="C211" s="28" t="s">
        <v>407</v>
      </c>
      <c r="D211" s="28" t="s">
        <v>51</v>
      </c>
      <c r="F211" s="29">
        <v>2</v>
      </c>
      <c r="K211" s="30"/>
    </row>
    <row r="212" spans="1:76">
      <c r="A212" s="27"/>
      <c r="C212" s="28" t="s">
        <v>408</v>
      </c>
      <c r="D212" s="28" t="s">
        <v>51</v>
      </c>
      <c r="F212" s="29">
        <v>2</v>
      </c>
      <c r="K212" s="30"/>
    </row>
    <row r="213" spans="1:76">
      <c r="A213" s="27"/>
      <c r="C213" s="28" t="s">
        <v>409</v>
      </c>
      <c r="D213" s="28" t="s">
        <v>51</v>
      </c>
      <c r="F213" s="29">
        <v>2</v>
      </c>
      <c r="K213" s="30"/>
    </row>
    <row r="214" spans="1:76">
      <c r="A214" s="27"/>
      <c r="C214" s="28" t="s">
        <v>410</v>
      </c>
      <c r="D214" s="28" t="s">
        <v>51</v>
      </c>
      <c r="F214" s="29">
        <v>1</v>
      </c>
      <c r="K214" s="30"/>
    </row>
    <row r="215" spans="1:76">
      <c r="A215" s="2" t="s">
        <v>411</v>
      </c>
      <c r="B215" s="3" t="s">
        <v>412</v>
      </c>
      <c r="C215" s="72" t="s">
        <v>413</v>
      </c>
      <c r="D215" s="67"/>
      <c r="E215" s="3" t="s">
        <v>122</v>
      </c>
      <c r="F215" s="24">
        <v>2</v>
      </c>
      <c r="G215" s="24">
        <v>0</v>
      </c>
      <c r="H215" s="24">
        <f>F215*AO215</f>
        <v>0</v>
      </c>
      <c r="I215" s="24">
        <f>F215*AP215</f>
        <v>0</v>
      </c>
      <c r="J215" s="24">
        <f>F215*G215</f>
        <v>0</v>
      </c>
      <c r="K215" s="25" t="s">
        <v>51</v>
      </c>
      <c r="Z215" s="24">
        <f>IF(AQ215="5",BJ215,0)</f>
        <v>0</v>
      </c>
      <c r="AB215" s="24">
        <f>IF(AQ215="1",BH215,0)</f>
        <v>0</v>
      </c>
      <c r="AC215" s="24">
        <f>IF(AQ215="1",BI215,0)</f>
        <v>0</v>
      </c>
      <c r="AD215" s="24">
        <f>IF(AQ215="7",BH215,0)</f>
        <v>0</v>
      </c>
      <c r="AE215" s="24">
        <f>IF(AQ215="7",BI215,0)</f>
        <v>0</v>
      </c>
      <c r="AF215" s="24">
        <f>IF(AQ215="2",BH215,0)</f>
        <v>0</v>
      </c>
      <c r="AG215" s="24">
        <f>IF(AQ215="2",BI215,0)</f>
        <v>0</v>
      </c>
      <c r="AH215" s="24">
        <f>IF(AQ215="0",BJ215,0)</f>
        <v>0</v>
      </c>
      <c r="AI215" s="10" t="s">
        <v>51</v>
      </c>
      <c r="AJ215" s="24">
        <f>IF(AN215=0,J215,0)</f>
        <v>0</v>
      </c>
      <c r="AK215" s="24">
        <f>IF(AN215=12,J215,0)</f>
        <v>0</v>
      </c>
      <c r="AL215" s="24">
        <f>IF(AN215=21,J215,0)</f>
        <v>0</v>
      </c>
      <c r="AN215" s="24">
        <v>21</v>
      </c>
      <c r="AO215" s="24">
        <f>G215*1</f>
        <v>0</v>
      </c>
      <c r="AP215" s="24">
        <f>G215*(1-1)</f>
        <v>0</v>
      </c>
      <c r="AQ215" s="26" t="s">
        <v>54</v>
      </c>
      <c r="AV215" s="24">
        <f>AW215+AX215</f>
        <v>0</v>
      </c>
      <c r="AW215" s="24">
        <f>F215*AO215</f>
        <v>0</v>
      </c>
      <c r="AX215" s="24">
        <f>F215*AP215</f>
        <v>0</v>
      </c>
      <c r="AY215" s="26" t="s">
        <v>405</v>
      </c>
      <c r="AZ215" s="26" t="s">
        <v>406</v>
      </c>
      <c r="BA215" s="10" t="s">
        <v>59</v>
      </c>
      <c r="BC215" s="24">
        <f>AW215+AX215</f>
        <v>0</v>
      </c>
      <c r="BD215" s="24">
        <f>G215/(100-BE215)*100</f>
        <v>0</v>
      </c>
      <c r="BE215" s="24">
        <v>0</v>
      </c>
      <c r="BF215" s="24">
        <f>215</f>
        <v>215</v>
      </c>
      <c r="BH215" s="24">
        <f>F215*AO215</f>
        <v>0</v>
      </c>
      <c r="BI215" s="24">
        <f>F215*AP215</f>
        <v>0</v>
      </c>
      <c r="BJ215" s="24">
        <f>F215*G215</f>
        <v>0</v>
      </c>
      <c r="BK215" s="24"/>
      <c r="BL215" s="24">
        <v>85</v>
      </c>
      <c r="BW215" s="24">
        <v>21</v>
      </c>
      <c r="BX215" s="4" t="s">
        <v>413</v>
      </c>
    </row>
    <row r="216" spans="1:76">
      <c r="A216" s="2" t="s">
        <v>414</v>
      </c>
      <c r="B216" s="3" t="s">
        <v>415</v>
      </c>
      <c r="C216" s="72" t="s">
        <v>416</v>
      </c>
      <c r="D216" s="67"/>
      <c r="E216" s="3" t="s">
        <v>122</v>
      </c>
      <c r="F216" s="24">
        <v>2</v>
      </c>
      <c r="G216" s="24">
        <v>0</v>
      </c>
      <c r="H216" s="24">
        <f>F216*AO216</f>
        <v>0</v>
      </c>
      <c r="I216" s="24">
        <f>F216*AP216</f>
        <v>0</v>
      </c>
      <c r="J216" s="24">
        <f>F216*G216</f>
        <v>0</v>
      </c>
      <c r="K216" s="25" t="s">
        <v>51</v>
      </c>
      <c r="Z216" s="24">
        <f>IF(AQ216="5",BJ216,0)</f>
        <v>0</v>
      </c>
      <c r="AB216" s="24">
        <f>IF(AQ216="1",BH216,0)</f>
        <v>0</v>
      </c>
      <c r="AC216" s="24">
        <f>IF(AQ216="1",BI216,0)</f>
        <v>0</v>
      </c>
      <c r="AD216" s="24">
        <f>IF(AQ216="7",BH216,0)</f>
        <v>0</v>
      </c>
      <c r="AE216" s="24">
        <f>IF(AQ216="7",BI216,0)</f>
        <v>0</v>
      </c>
      <c r="AF216" s="24">
        <f>IF(AQ216="2",BH216,0)</f>
        <v>0</v>
      </c>
      <c r="AG216" s="24">
        <f>IF(AQ216="2",BI216,0)</f>
        <v>0</v>
      </c>
      <c r="AH216" s="24">
        <f>IF(AQ216="0",BJ216,0)</f>
        <v>0</v>
      </c>
      <c r="AI216" s="10" t="s">
        <v>51</v>
      </c>
      <c r="AJ216" s="24">
        <f>IF(AN216=0,J216,0)</f>
        <v>0</v>
      </c>
      <c r="AK216" s="24">
        <f>IF(AN216=12,J216,0)</f>
        <v>0</v>
      </c>
      <c r="AL216" s="24">
        <f>IF(AN216=21,J216,0)</f>
        <v>0</v>
      </c>
      <c r="AN216" s="24">
        <v>21</v>
      </c>
      <c r="AO216" s="24">
        <f>G216*1</f>
        <v>0</v>
      </c>
      <c r="AP216" s="24">
        <f>G216*(1-1)</f>
        <v>0</v>
      </c>
      <c r="AQ216" s="26" t="s">
        <v>54</v>
      </c>
      <c r="AV216" s="24">
        <f>AW216+AX216</f>
        <v>0</v>
      </c>
      <c r="AW216" s="24">
        <f>F216*AO216</f>
        <v>0</v>
      </c>
      <c r="AX216" s="24">
        <f>F216*AP216</f>
        <v>0</v>
      </c>
      <c r="AY216" s="26" t="s">
        <v>405</v>
      </c>
      <c r="AZ216" s="26" t="s">
        <v>406</v>
      </c>
      <c r="BA216" s="10" t="s">
        <v>59</v>
      </c>
      <c r="BC216" s="24">
        <f>AW216+AX216</f>
        <v>0</v>
      </c>
      <c r="BD216" s="24">
        <f>G216/(100-BE216)*100</f>
        <v>0</v>
      </c>
      <c r="BE216" s="24">
        <v>0</v>
      </c>
      <c r="BF216" s="24">
        <f>216</f>
        <v>216</v>
      </c>
      <c r="BH216" s="24">
        <f>F216*AO216</f>
        <v>0</v>
      </c>
      <c r="BI216" s="24">
        <f>F216*AP216</f>
        <v>0</v>
      </c>
      <c r="BJ216" s="24">
        <f>F216*G216</f>
        <v>0</v>
      </c>
      <c r="BK216" s="24"/>
      <c r="BL216" s="24">
        <v>85</v>
      </c>
      <c r="BW216" s="24">
        <v>21</v>
      </c>
      <c r="BX216" s="4" t="s">
        <v>416</v>
      </c>
    </row>
    <row r="217" spans="1:76">
      <c r="A217" s="2" t="s">
        <v>417</v>
      </c>
      <c r="B217" s="3" t="s">
        <v>418</v>
      </c>
      <c r="C217" s="72" t="s">
        <v>419</v>
      </c>
      <c r="D217" s="67"/>
      <c r="E217" s="3" t="s">
        <v>122</v>
      </c>
      <c r="F217" s="24">
        <v>2</v>
      </c>
      <c r="G217" s="24">
        <v>0</v>
      </c>
      <c r="H217" s="24">
        <f>F217*AO217</f>
        <v>0</v>
      </c>
      <c r="I217" s="24">
        <f>F217*AP217</f>
        <v>0</v>
      </c>
      <c r="J217" s="24">
        <f>F217*G217</f>
        <v>0</v>
      </c>
      <c r="K217" s="25" t="s">
        <v>51</v>
      </c>
      <c r="Z217" s="24">
        <f>IF(AQ217="5",BJ217,0)</f>
        <v>0</v>
      </c>
      <c r="AB217" s="24">
        <f>IF(AQ217="1",BH217,0)</f>
        <v>0</v>
      </c>
      <c r="AC217" s="24">
        <f>IF(AQ217="1",BI217,0)</f>
        <v>0</v>
      </c>
      <c r="AD217" s="24">
        <f>IF(AQ217="7",BH217,0)</f>
        <v>0</v>
      </c>
      <c r="AE217" s="24">
        <f>IF(AQ217="7",BI217,0)</f>
        <v>0</v>
      </c>
      <c r="AF217" s="24">
        <f>IF(AQ217="2",BH217,0)</f>
        <v>0</v>
      </c>
      <c r="AG217" s="24">
        <f>IF(AQ217="2",BI217,0)</f>
        <v>0</v>
      </c>
      <c r="AH217" s="24">
        <f>IF(AQ217="0",BJ217,0)</f>
        <v>0</v>
      </c>
      <c r="AI217" s="10" t="s">
        <v>51</v>
      </c>
      <c r="AJ217" s="24">
        <f>IF(AN217=0,J217,0)</f>
        <v>0</v>
      </c>
      <c r="AK217" s="24">
        <f>IF(AN217=12,J217,0)</f>
        <v>0</v>
      </c>
      <c r="AL217" s="24">
        <f>IF(AN217=21,J217,0)</f>
        <v>0</v>
      </c>
      <c r="AN217" s="24">
        <v>21</v>
      </c>
      <c r="AO217" s="24">
        <f>G217*1</f>
        <v>0</v>
      </c>
      <c r="AP217" s="24">
        <f>G217*(1-1)</f>
        <v>0</v>
      </c>
      <c r="AQ217" s="26" t="s">
        <v>54</v>
      </c>
      <c r="AV217" s="24">
        <f>AW217+AX217</f>
        <v>0</v>
      </c>
      <c r="AW217" s="24">
        <f>F217*AO217</f>
        <v>0</v>
      </c>
      <c r="AX217" s="24">
        <f>F217*AP217</f>
        <v>0</v>
      </c>
      <c r="AY217" s="26" t="s">
        <v>405</v>
      </c>
      <c r="AZ217" s="26" t="s">
        <v>406</v>
      </c>
      <c r="BA217" s="10" t="s">
        <v>59</v>
      </c>
      <c r="BC217" s="24">
        <f>AW217+AX217</f>
        <v>0</v>
      </c>
      <c r="BD217" s="24">
        <f>G217/(100-BE217)*100</f>
        <v>0</v>
      </c>
      <c r="BE217" s="24">
        <v>0</v>
      </c>
      <c r="BF217" s="24">
        <f>217</f>
        <v>217</v>
      </c>
      <c r="BH217" s="24">
        <f>F217*AO217</f>
        <v>0</v>
      </c>
      <c r="BI217" s="24">
        <f>F217*AP217</f>
        <v>0</v>
      </c>
      <c r="BJ217" s="24">
        <f>F217*G217</f>
        <v>0</v>
      </c>
      <c r="BK217" s="24"/>
      <c r="BL217" s="24">
        <v>85</v>
      </c>
      <c r="BW217" s="24">
        <v>21</v>
      </c>
      <c r="BX217" s="4" t="s">
        <v>419</v>
      </c>
    </row>
    <row r="218" spans="1:76">
      <c r="A218" s="2" t="s">
        <v>420</v>
      </c>
      <c r="B218" s="3" t="s">
        <v>421</v>
      </c>
      <c r="C218" s="72" t="s">
        <v>422</v>
      </c>
      <c r="D218" s="67"/>
      <c r="E218" s="3" t="s">
        <v>122</v>
      </c>
      <c r="F218" s="24">
        <v>1</v>
      </c>
      <c r="G218" s="24">
        <v>0</v>
      </c>
      <c r="H218" s="24">
        <f>F218*AO218</f>
        <v>0</v>
      </c>
      <c r="I218" s="24">
        <f>F218*AP218</f>
        <v>0</v>
      </c>
      <c r="J218" s="24">
        <f>F218*G218</f>
        <v>0</v>
      </c>
      <c r="K218" s="25" t="s">
        <v>51</v>
      </c>
      <c r="Z218" s="24">
        <f>IF(AQ218="5",BJ218,0)</f>
        <v>0</v>
      </c>
      <c r="AB218" s="24">
        <f>IF(AQ218="1",BH218,0)</f>
        <v>0</v>
      </c>
      <c r="AC218" s="24">
        <f>IF(AQ218="1",BI218,0)</f>
        <v>0</v>
      </c>
      <c r="AD218" s="24">
        <f>IF(AQ218="7",BH218,0)</f>
        <v>0</v>
      </c>
      <c r="AE218" s="24">
        <f>IF(AQ218="7",BI218,0)</f>
        <v>0</v>
      </c>
      <c r="AF218" s="24">
        <f>IF(AQ218="2",BH218,0)</f>
        <v>0</v>
      </c>
      <c r="AG218" s="24">
        <f>IF(AQ218="2",BI218,0)</f>
        <v>0</v>
      </c>
      <c r="AH218" s="24">
        <f>IF(AQ218="0",BJ218,0)</f>
        <v>0</v>
      </c>
      <c r="AI218" s="10" t="s">
        <v>51</v>
      </c>
      <c r="AJ218" s="24">
        <f>IF(AN218=0,J218,0)</f>
        <v>0</v>
      </c>
      <c r="AK218" s="24">
        <f>IF(AN218=12,J218,0)</f>
        <v>0</v>
      </c>
      <c r="AL218" s="24">
        <f>IF(AN218=21,J218,0)</f>
        <v>0</v>
      </c>
      <c r="AN218" s="24">
        <v>21</v>
      </c>
      <c r="AO218" s="24">
        <f>G218*1</f>
        <v>0</v>
      </c>
      <c r="AP218" s="24">
        <f>G218*(1-1)</f>
        <v>0</v>
      </c>
      <c r="AQ218" s="26" t="s">
        <v>54</v>
      </c>
      <c r="AV218" s="24">
        <f>AW218+AX218</f>
        <v>0</v>
      </c>
      <c r="AW218" s="24">
        <f>F218*AO218</f>
        <v>0</v>
      </c>
      <c r="AX218" s="24">
        <f>F218*AP218</f>
        <v>0</v>
      </c>
      <c r="AY218" s="26" t="s">
        <v>405</v>
      </c>
      <c r="AZ218" s="26" t="s">
        <v>406</v>
      </c>
      <c r="BA218" s="10" t="s">
        <v>59</v>
      </c>
      <c r="BC218" s="24">
        <f>AW218+AX218</f>
        <v>0</v>
      </c>
      <c r="BD218" s="24">
        <f>G218/(100-BE218)*100</f>
        <v>0</v>
      </c>
      <c r="BE218" s="24">
        <v>0</v>
      </c>
      <c r="BF218" s="24">
        <f>218</f>
        <v>218</v>
      </c>
      <c r="BH218" s="24">
        <f>F218*AO218</f>
        <v>0</v>
      </c>
      <c r="BI218" s="24">
        <f>F218*AP218</f>
        <v>0</v>
      </c>
      <c r="BJ218" s="24">
        <f>F218*G218</f>
        <v>0</v>
      </c>
      <c r="BK218" s="24"/>
      <c r="BL218" s="24">
        <v>85</v>
      </c>
      <c r="BW218" s="24">
        <v>21</v>
      </c>
      <c r="BX218" s="4" t="s">
        <v>422</v>
      </c>
    </row>
    <row r="219" spans="1:76">
      <c r="A219" s="2" t="s">
        <v>423</v>
      </c>
      <c r="B219" s="3" t="s">
        <v>424</v>
      </c>
      <c r="C219" s="72" t="s">
        <v>425</v>
      </c>
      <c r="D219" s="67"/>
      <c r="E219" s="3" t="s">
        <v>122</v>
      </c>
      <c r="F219" s="24">
        <v>22</v>
      </c>
      <c r="G219" s="24">
        <v>0</v>
      </c>
      <c r="H219" s="24">
        <f>F219*AO219</f>
        <v>0</v>
      </c>
      <c r="I219" s="24">
        <f>F219*AP219</f>
        <v>0</v>
      </c>
      <c r="J219" s="24">
        <f>F219*G219</f>
        <v>0</v>
      </c>
      <c r="K219" s="25" t="s">
        <v>71</v>
      </c>
      <c r="Z219" s="24">
        <f>IF(AQ219="5",BJ219,0)</f>
        <v>0</v>
      </c>
      <c r="AB219" s="24">
        <f>IF(AQ219="1",BH219,0)</f>
        <v>0</v>
      </c>
      <c r="AC219" s="24">
        <f>IF(AQ219="1",BI219,0)</f>
        <v>0</v>
      </c>
      <c r="AD219" s="24">
        <f>IF(AQ219="7",BH219,0)</f>
        <v>0</v>
      </c>
      <c r="AE219" s="24">
        <f>IF(AQ219="7",BI219,0)</f>
        <v>0</v>
      </c>
      <c r="AF219" s="24">
        <f>IF(AQ219="2",BH219,0)</f>
        <v>0</v>
      </c>
      <c r="AG219" s="24">
        <f>IF(AQ219="2",BI219,0)</f>
        <v>0</v>
      </c>
      <c r="AH219" s="24">
        <f>IF(AQ219="0",BJ219,0)</f>
        <v>0</v>
      </c>
      <c r="AI219" s="10" t="s">
        <v>51</v>
      </c>
      <c r="AJ219" s="24">
        <f>IF(AN219=0,J219,0)</f>
        <v>0</v>
      </c>
      <c r="AK219" s="24">
        <f>IF(AN219=12,J219,0)</f>
        <v>0</v>
      </c>
      <c r="AL219" s="24">
        <f>IF(AN219=21,J219,0)</f>
        <v>0</v>
      </c>
      <c r="AN219" s="24">
        <v>21</v>
      </c>
      <c r="AO219" s="24">
        <f>G219*0.000028517</f>
        <v>0</v>
      </c>
      <c r="AP219" s="24">
        <f>G219*(1-0.000028517)</f>
        <v>0</v>
      </c>
      <c r="AQ219" s="26" t="s">
        <v>54</v>
      </c>
      <c r="AV219" s="24">
        <f>AW219+AX219</f>
        <v>0</v>
      </c>
      <c r="AW219" s="24">
        <f>F219*AO219</f>
        <v>0</v>
      </c>
      <c r="AX219" s="24">
        <f>F219*AP219</f>
        <v>0</v>
      </c>
      <c r="AY219" s="26" t="s">
        <v>405</v>
      </c>
      <c r="AZ219" s="26" t="s">
        <v>406</v>
      </c>
      <c r="BA219" s="10" t="s">
        <v>59</v>
      </c>
      <c r="BC219" s="24">
        <f>AW219+AX219</f>
        <v>0</v>
      </c>
      <c r="BD219" s="24">
        <f>G219/(100-BE219)*100</f>
        <v>0</v>
      </c>
      <c r="BE219" s="24">
        <v>0</v>
      </c>
      <c r="BF219" s="24">
        <f>219</f>
        <v>219</v>
      </c>
      <c r="BH219" s="24">
        <f>F219*AO219</f>
        <v>0</v>
      </c>
      <c r="BI219" s="24">
        <f>F219*AP219</f>
        <v>0</v>
      </c>
      <c r="BJ219" s="24">
        <f>F219*G219</f>
        <v>0</v>
      </c>
      <c r="BK219" s="24"/>
      <c r="BL219" s="24">
        <v>85</v>
      </c>
      <c r="BW219" s="24">
        <v>21</v>
      </c>
      <c r="BX219" s="4" t="s">
        <v>425</v>
      </c>
    </row>
    <row r="220" spans="1:76">
      <c r="A220" s="27"/>
      <c r="C220" s="28" t="s">
        <v>426</v>
      </c>
      <c r="D220" s="28" t="s">
        <v>51</v>
      </c>
      <c r="F220" s="29">
        <v>1</v>
      </c>
      <c r="K220" s="30"/>
    </row>
    <row r="221" spans="1:76">
      <c r="A221" s="27"/>
      <c r="C221" s="28" t="s">
        <v>427</v>
      </c>
      <c r="D221" s="28" t="s">
        <v>51</v>
      </c>
      <c r="F221" s="29">
        <v>2</v>
      </c>
      <c r="K221" s="30"/>
    </row>
    <row r="222" spans="1:76">
      <c r="A222" s="27"/>
      <c r="C222" s="28" t="s">
        <v>428</v>
      </c>
      <c r="D222" s="28" t="s">
        <v>51</v>
      </c>
      <c r="F222" s="29">
        <v>7</v>
      </c>
      <c r="K222" s="30"/>
    </row>
    <row r="223" spans="1:76">
      <c r="A223" s="27"/>
      <c r="C223" s="28" t="s">
        <v>429</v>
      </c>
      <c r="D223" s="28" t="s">
        <v>51</v>
      </c>
      <c r="F223" s="29">
        <v>2</v>
      </c>
      <c r="K223" s="30"/>
    </row>
    <row r="224" spans="1:76">
      <c r="A224" s="27"/>
      <c r="C224" s="28" t="s">
        <v>430</v>
      </c>
      <c r="D224" s="28" t="s">
        <v>51</v>
      </c>
      <c r="F224" s="29">
        <v>4</v>
      </c>
      <c r="K224" s="30"/>
    </row>
    <row r="225" spans="1:76">
      <c r="A225" s="27"/>
      <c r="C225" s="28" t="s">
        <v>431</v>
      </c>
      <c r="D225" s="28" t="s">
        <v>51</v>
      </c>
      <c r="F225" s="29">
        <v>4</v>
      </c>
      <c r="K225" s="30"/>
    </row>
    <row r="226" spans="1:76">
      <c r="A226" s="27"/>
      <c r="C226" s="28" t="s">
        <v>432</v>
      </c>
      <c r="D226" s="28" t="s">
        <v>51</v>
      </c>
      <c r="F226" s="29">
        <v>2</v>
      </c>
      <c r="K226" s="30"/>
    </row>
    <row r="227" spans="1:76">
      <c r="A227" s="2" t="s">
        <v>433</v>
      </c>
      <c r="B227" s="3" t="s">
        <v>434</v>
      </c>
      <c r="C227" s="72" t="s">
        <v>435</v>
      </c>
      <c r="D227" s="67"/>
      <c r="E227" s="3" t="s">
        <v>122</v>
      </c>
      <c r="F227" s="24">
        <v>1</v>
      </c>
      <c r="G227" s="24">
        <v>0</v>
      </c>
      <c r="H227" s="24">
        <f t="shared" ref="H227:H234" si="0">F227*AO227</f>
        <v>0</v>
      </c>
      <c r="I227" s="24">
        <f t="shared" ref="I227:I234" si="1">F227*AP227</f>
        <v>0</v>
      </c>
      <c r="J227" s="24">
        <f t="shared" ref="J227:J234" si="2">F227*G227</f>
        <v>0</v>
      </c>
      <c r="K227" s="25" t="s">
        <v>51</v>
      </c>
      <c r="Z227" s="24">
        <f t="shared" ref="Z227:Z234" si="3">IF(AQ227="5",BJ227,0)</f>
        <v>0</v>
      </c>
      <c r="AB227" s="24">
        <f t="shared" ref="AB227:AB234" si="4">IF(AQ227="1",BH227,0)</f>
        <v>0</v>
      </c>
      <c r="AC227" s="24">
        <f t="shared" ref="AC227:AC234" si="5">IF(AQ227="1",BI227,0)</f>
        <v>0</v>
      </c>
      <c r="AD227" s="24">
        <f t="shared" ref="AD227:AD234" si="6">IF(AQ227="7",BH227,0)</f>
        <v>0</v>
      </c>
      <c r="AE227" s="24">
        <f t="shared" ref="AE227:AE234" si="7">IF(AQ227="7",BI227,0)</f>
        <v>0</v>
      </c>
      <c r="AF227" s="24">
        <f t="shared" ref="AF227:AF234" si="8">IF(AQ227="2",BH227,0)</f>
        <v>0</v>
      </c>
      <c r="AG227" s="24">
        <f t="shared" ref="AG227:AG234" si="9">IF(AQ227="2",BI227,0)</f>
        <v>0</v>
      </c>
      <c r="AH227" s="24">
        <f t="shared" ref="AH227:AH234" si="10">IF(AQ227="0",BJ227,0)</f>
        <v>0</v>
      </c>
      <c r="AI227" s="10" t="s">
        <v>51</v>
      </c>
      <c r="AJ227" s="24">
        <f t="shared" ref="AJ227:AJ234" si="11">IF(AN227=0,J227,0)</f>
        <v>0</v>
      </c>
      <c r="AK227" s="24">
        <f t="shared" ref="AK227:AK234" si="12">IF(AN227=12,J227,0)</f>
        <v>0</v>
      </c>
      <c r="AL227" s="24">
        <f t="shared" ref="AL227:AL234" si="13">IF(AN227=21,J227,0)</f>
        <v>0</v>
      </c>
      <c r="AN227" s="24">
        <v>21</v>
      </c>
      <c r="AO227" s="24">
        <f t="shared" ref="AO227:AO233" si="14">G227*1</f>
        <v>0</v>
      </c>
      <c r="AP227" s="24">
        <f t="shared" ref="AP227:AP233" si="15">G227*(1-1)</f>
        <v>0</v>
      </c>
      <c r="AQ227" s="26" t="s">
        <v>54</v>
      </c>
      <c r="AV227" s="24">
        <f t="shared" ref="AV227:AV234" si="16">AW227+AX227</f>
        <v>0</v>
      </c>
      <c r="AW227" s="24">
        <f t="shared" ref="AW227:AW234" si="17">F227*AO227</f>
        <v>0</v>
      </c>
      <c r="AX227" s="24">
        <f t="shared" ref="AX227:AX234" si="18">F227*AP227</f>
        <v>0</v>
      </c>
      <c r="AY227" s="26" t="s">
        <v>405</v>
      </c>
      <c r="AZ227" s="26" t="s">
        <v>406</v>
      </c>
      <c r="BA227" s="10" t="s">
        <v>59</v>
      </c>
      <c r="BC227" s="24">
        <f t="shared" ref="BC227:BC234" si="19">AW227+AX227</f>
        <v>0</v>
      </c>
      <c r="BD227" s="24">
        <f t="shared" ref="BD227:BD234" si="20">G227/(100-BE227)*100</f>
        <v>0</v>
      </c>
      <c r="BE227" s="24">
        <v>0</v>
      </c>
      <c r="BF227" s="24">
        <f>227</f>
        <v>227</v>
      </c>
      <c r="BH227" s="24">
        <f t="shared" ref="BH227:BH234" si="21">F227*AO227</f>
        <v>0</v>
      </c>
      <c r="BI227" s="24">
        <f t="shared" ref="BI227:BI234" si="22">F227*AP227</f>
        <v>0</v>
      </c>
      <c r="BJ227" s="24">
        <f t="shared" ref="BJ227:BJ234" si="23">F227*G227</f>
        <v>0</v>
      </c>
      <c r="BK227" s="24"/>
      <c r="BL227" s="24">
        <v>85</v>
      </c>
      <c r="BW227" s="24">
        <v>21</v>
      </c>
      <c r="BX227" s="4" t="s">
        <v>435</v>
      </c>
    </row>
    <row r="228" spans="1:76">
      <c r="A228" s="2" t="s">
        <v>436</v>
      </c>
      <c r="B228" s="3" t="s">
        <v>437</v>
      </c>
      <c r="C228" s="72" t="s">
        <v>438</v>
      </c>
      <c r="D228" s="67"/>
      <c r="E228" s="3" t="s">
        <v>122</v>
      </c>
      <c r="F228" s="24">
        <v>2</v>
      </c>
      <c r="G228" s="24">
        <v>0</v>
      </c>
      <c r="H228" s="24">
        <f t="shared" si="0"/>
        <v>0</v>
      </c>
      <c r="I228" s="24">
        <f t="shared" si="1"/>
        <v>0</v>
      </c>
      <c r="J228" s="24">
        <f t="shared" si="2"/>
        <v>0</v>
      </c>
      <c r="K228" s="25" t="s">
        <v>51</v>
      </c>
      <c r="Z228" s="24">
        <f t="shared" si="3"/>
        <v>0</v>
      </c>
      <c r="AB228" s="24">
        <f t="shared" si="4"/>
        <v>0</v>
      </c>
      <c r="AC228" s="24">
        <f t="shared" si="5"/>
        <v>0</v>
      </c>
      <c r="AD228" s="24">
        <f t="shared" si="6"/>
        <v>0</v>
      </c>
      <c r="AE228" s="24">
        <f t="shared" si="7"/>
        <v>0</v>
      </c>
      <c r="AF228" s="24">
        <f t="shared" si="8"/>
        <v>0</v>
      </c>
      <c r="AG228" s="24">
        <f t="shared" si="9"/>
        <v>0</v>
      </c>
      <c r="AH228" s="24">
        <f t="shared" si="10"/>
        <v>0</v>
      </c>
      <c r="AI228" s="10" t="s">
        <v>51</v>
      </c>
      <c r="AJ228" s="24">
        <f t="shared" si="11"/>
        <v>0</v>
      </c>
      <c r="AK228" s="24">
        <f t="shared" si="12"/>
        <v>0</v>
      </c>
      <c r="AL228" s="24">
        <f t="shared" si="13"/>
        <v>0</v>
      </c>
      <c r="AN228" s="24">
        <v>21</v>
      </c>
      <c r="AO228" s="24">
        <f t="shared" si="14"/>
        <v>0</v>
      </c>
      <c r="AP228" s="24">
        <f t="shared" si="15"/>
        <v>0</v>
      </c>
      <c r="AQ228" s="26" t="s">
        <v>54</v>
      </c>
      <c r="AV228" s="24">
        <f t="shared" si="16"/>
        <v>0</v>
      </c>
      <c r="AW228" s="24">
        <f t="shared" si="17"/>
        <v>0</v>
      </c>
      <c r="AX228" s="24">
        <f t="shared" si="18"/>
        <v>0</v>
      </c>
      <c r="AY228" s="26" t="s">
        <v>405</v>
      </c>
      <c r="AZ228" s="26" t="s">
        <v>406</v>
      </c>
      <c r="BA228" s="10" t="s">
        <v>59</v>
      </c>
      <c r="BC228" s="24">
        <f t="shared" si="19"/>
        <v>0</v>
      </c>
      <c r="BD228" s="24">
        <f t="shared" si="20"/>
        <v>0</v>
      </c>
      <c r="BE228" s="24">
        <v>0</v>
      </c>
      <c r="BF228" s="24">
        <f>228</f>
        <v>228</v>
      </c>
      <c r="BH228" s="24">
        <f t="shared" si="21"/>
        <v>0</v>
      </c>
      <c r="BI228" s="24">
        <f t="shared" si="22"/>
        <v>0</v>
      </c>
      <c r="BJ228" s="24">
        <f t="shared" si="23"/>
        <v>0</v>
      </c>
      <c r="BK228" s="24"/>
      <c r="BL228" s="24">
        <v>85</v>
      </c>
      <c r="BW228" s="24">
        <v>21</v>
      </c>
      <c r="BX228" s="4" t="s">
        <v>438</v>
      </c>
    </row>
    <row r="229" spans="1:76">
      <c r="A229" s="2" t="s">
        <v>439</v>
      </c>
      <c r="B229" s="3" t="s">
        <v>440</v>
      </c>
      <c r="C229" s="72" t="s">
        <v>441</v>
      </c>
      <c r="D229" s="67"/>
      <c r="E229" s="3" t="s">
        <v>122</v>
      </c>
      <c r="F229" s="24">
        <v>7</v>
      </c>
      <c r="G229" s="24">
        <v>0</v>
      </c>
      <c r="H229" s="24">
        <f t="shared" si="0"/>
        <v>0</v>
      </c>
      <c r="I229" s="24">
        <f t="shared" si="1"/>
        <v>0</v>
      </c>
      <c r="J229" s="24">
        <f t="shared" si="2"/>
        <v>0</v>
      </c>
      <c r="K229" s="25" t="s">
        <v>51</v>
      </c>
      <c r="Z229" s="24">
        <f t="shared" si="3"/>
        <v>0</v>
      </c>
      <c r="AB229" s="24">
        <f t="shared" si="4"/>
        <v>0</v>
      </c>
      <c r="AC229" s="24">
        <f t="shared" si="5"/>
        <v>0</v>
      </c>
      <c r="AD229" s="24">
        <f t="shared" si="6"/>
        <v>0</v>
      </c>
      <c r="AE229" s="24">
        <f t="shared" si="7"/>
        <v>0</v>
      </c>
      <c r="AF229" s="24">
        <f t="shared" si="8"/>
        <v>0</v>
      </c>
      <c r="AG229" s="24">
        <f t="shared" si="9"/>
        <v>0</v>
      </c>
      <c r="AH229" s="24">
        <f t="shared" si="10"/>
        <v>0</v>
      </c>
      <c r="AI229" s="10" t="s">
        <v>51</v>
      </c>
      <c r="AJ229" s="24">
        <f t="shared" si="11"/>
        <v>0</v>
      </c>
      <c r="AK229" s="24">
        <f t="shared" si="12"/>
        <v>0</v>
      </c>
      <c r="AL229" s="24">
        <f t="shared" si="13"/>
        <v>0</v>
      </c>
      <c r="AN229" s="24">
        <v>21</v>
      </c>
      <c r="AO229" s="24">
        <f t="shared" si="14"/>
        <v>0</v>
      </c>
      <c r="AP229" s="24">
        <f t="shared" si="15"/>
        <v>0</v>
      </c>
      <c r="AQ229" s="26" t="s">
        <v>54</v>
      </c>
      <c r="AV229" s="24">
        <f t="shared" si="16"/>
        <v>0</v>
      </c>
      <c r="AW229" s="24">
        <f t="shared" si="17"/>
        <v>0</v>
      </c>
      <c r="AX229" s="24">
        <f t="shared" si="18"/>
        <v>0</v>
      </c>
      <c r="AY229" s="26" t="s">
        <v>405</v>
      </c>
      <c r="AZ229" s="26" t="s">
        <v>406</v>
      </c>
      <c r="BA229" s="10" t="s">
        <v>59</v>
      </c>
      <c r="BC229" s="24">
        <f t="shared" si="19"/>
        <v>0</v>
      </c>
      <c r="BD229" s="24">
        <f t="shared" si="20"/>
        <v>0</v>
      </c>
      <c r="BE229" s="24">
        <v>0</v>
      </c>
      <c r="BF229" s="24">
        <f>229</f>
        <v>229</v>
      </c>
      <c r="BH229" s="24">
        <f t="shared" si="21"/>
        <v>0</v>
      </c>
      <c r="BI229" s="24">
        <f t="shared" si="22"/>
        <v>0</v>
      </c>
      <c r="BJ229" s="24">
        <f t="shared" si="23"/>
        <v>0</v>
      </c>
      <c r="BK229" s="24"/>
      <c r="BL229" s="24">
        <v>85</v>
      </c>
      <c r="BW229" s="24">
        <v>21</v>
      </c>
      <c r="BX229" s="4" t="s">
        <v>441</v>
      </c>
    </row>
    <row r="230" spans="1:76">
      <c r="A230" s="2" t="s">
        <v>442</v>
      </c>
      <c r="B230" s="3" t="s">
        <v>443</v>
      </c>
      <c r="C230" s="72" t="s">
        <v>444</v>
      </c>
      <c r="D230" s="67"/>
      <c r="E230" s="3" t="s">
        <v>122</v>
      </c>
      <c r="F230" s="24">
        <v>2</v>
      </c>
      <c r="G230" s="24">
        <v>0</v>
      </c>
      <c r="H230" s="24">
        <f t="shared" si="0"/>
        <v>0</v>
      </c>
      <c r="I230" s="24">
        <f t="shared" si="1"/>
        <v>0</v>
      </c>
      <c r="J230" s="24">
        <f t="shared" si="2"/>
        <v>0</v>
      </c>
      <c r="K230" s="25" t="s">
        <v>51</v>
      </c>
      <c r="Z230" s="24">
        <f t="shared" si="3"/>
        <v>0</v>
      </c>
      <c r="AB230" s="24">
        <f t="shared" si="4"/>
        <v>0</v>
      </c>
      <c r="AC230" s="24">
        <f t="shared" si="5"/>
        <v>0</v>
      </c>
      <c r="AD230" s="24">
        <f t="shared" si="6"/>
        <v>0</v>
      </c>
      <c r="AE230" s="24">
        <f t="shared" si="7"/>
        <v>0</v>
      </c>
      <c r="AF230" s="24">
        <f t="shared" si="8"/>
        <v>0</v>
      </c>
      <c r="AG230" s="24">
        <f t="shared" si="9"/>
        <v>0</v>
      </c>
      <c r="AH230" s="24">
        <f t="shared" si="10"/>
        <v>0</v>
      </c>
      <c r="AI230" s="10" t="s">
        <v>51</v>
      </c>
      <c r="AJ230" s="24">
        <f t="shared" si="11"/>
        <v>0</v>
      </c>
      <c r="AK230" s="24">
        <f t="shared" si="12"/>
        <v>0</v>
      </c>
      <c r="AL230" s="24">
        <f t="shared" si="13"/>
        <v>0</v>
      </c>
      <c r="AN230" s="24">
        <v>21</v>
      </c>
      <c r="AO230" s="24">
        <f t="shared" si="14"/>
        <v>0</v>
      </c>
      <c r="AP230" s="24">
        <f t="shared" si="15"/>
        <v>0</v>
      </c>
      <c r="AQ230" s="26" t="s">
        <v>54</v>
      </c>
      <c r="AV230" s="24">
        <f t="shared" si="16"/>
        <v>0</v>
      </c>
      <c r="AW230" s="24">
        <f t="shared" si="17"/>
        <v>0</v>
      </c>
      <c r="AX230" s="24">
        <f t="shared" si="18"/>
        <v>0</v>
      </c>
      <c r="AY230" s="26" t="s">
        <v>405</v>
      </c>
      <c r="AZ230" s="26" t="s">
        <v>406</v>
      </c>
      <c r="BA230" s="10" t="s">
        <v>59</v>
      </c>
      <c r="BC230" s="24">
        <f t="shared" si="19"/>
        <v>0</v>
      </c>
      <c r="BD230" s="24">
        <f t="shared" si="20"/>
        <v>0</v>
      </c>
      <c r="BE230" s="24">
        <v>0</v>
      </c>
      <c r="BF230" s="24">
        <f>230</f>
        <v>230</v>
      </c>
      <c r="BH230" s="24">
        <f t="shared" si="21"/>
        <v>0</v>
      </c>
      <c r="BI230" s="24">
        <f t="shared" si="22"/>
        <v>0</v>
      </c>
      <c r="BJ230" s="24">
        <f t="shared" si="23"/>
        <v>0</v>
      </c>
      <c r="BK230" s="24"/>
      <c r="BL230" s="24">
        <v>85</v>
      </c>
      <c r="BW230" s="24">
        <v>21</v>
      </c>
      <c r="BX230" s="4" t="s">
        <v>444</v>
      </c>
    </row>
    <row r="231" spans="1:76">
      <c r="A231" s="2" t="s">
        <v>445</v>
      </c>
      <c r="B231" s="3" t="s">
        <v>446</v>
      </c>
      <c r="C231" s="72" t="s">
        <v>447</v>
      </c>
      <c r="D231" s="67"/>
      <c r="E231" s="3" t="s">
        <v>122</v>
      </c>
      <c r="F231" s="24">
        <v>4</v>
      </c>
      <c r="G231" s="24">
        <v>0</v>
      </c>
      <c r="H231" s="24">
        <f t="shared" si="0"/>
        <v>0</v>
      </c>
      <c r="I231" s="24">
        <f t="shared" si="1"/>
        <v>0</v>
      </c>
      <c r="J231" s="24">
        <f t="shared" si="2"/>
        <v>0</v>
      </c>
      <c r="K231" s="25" t="s">
        <v>51</v>
      </c>
      <c r="Z231" s="24">
        <f t="shared" si="3"/>
        <v>0</v>
      </c>
      <c r="AB231" s="24">
        <f t="shared" si="4"/>
        <v>0</v>
      </c>
      <c r="AC231" s="24">
        <f t="shared" si="5"/>
        <v>0</v>
      </c>
      <c r="AD231" s="24">
        <f t="shared" si="6"/>
        <v>0</v>
      </c>
      <c r="AE231" s="24">
        <f t="shared" si="7"/>
        <v>0</v>
      </c>
      <c r="AF231" s="24">
        <f t="shared" si="8"/>
        <v>0</v>
      </c>
      <c r="AG231" s="24">
        <f t="shared" si="9"/>
        <v>0</v>
      </c>
      <c r="AH231" s="24">
        <f t="shared" si="10"/>
        <v>0</v>
      </c>
      <c r="AI231" s="10" t="s">
        <v>51</v>
      </c>
      <c r="AJ231" s="24">
        <f t="shared" si="11"/>
        <v>0</v>
      </c>
      <c r="AK231" s="24">
        <f t="shared" si="12"/>
        <v>0</v>
      </c>
      <c r="AL231" s="24">
        <f t="shared" si="13"/>
        <v>0</v>
      </c>
      <c r="AN231" s="24">
        <v>21</v>
      </c>
      <c r="AO231" s="24">
        <f t="shared" si="14"/>
        <v>0</v>
      </c>
      <c r="AP231" s="24">
        <f t="shared" si="15"/>
        <v>0</v>
      </c>
      <c r="AQ231" s="26" t="s">
        <v>54</v>
      </c>
      <c r="AV231" s="24">
        <f t="shared" si="16"/>
        <v>0</v>
      </c>
      <c r="AW231" s="24">
        <f t="shared" si="17"/>
        <v>0</v>
      </c>
      <c r="AX231" s="24">
        <f t="shared" si="18"/>
        <v>0</v>
      </c>
      <c r="AY231" s="26" t="s">
        <v>405</v>
      </c>
      <c r="AZ231" s="26" t="s">
        <v>406</v>
      </c>
      <c r="BA231" s="10" t="s">
        <v>59</v>
      </c>
      <c r="BC231" s="24">
        <f t="shared" si="19"/>
        <v>0</v>
      </c>
      <c r="BD231" s="24">
        <f t="shared" si="20"/>
        <v>0</v>
      </c>
      <c r="BE231" s="24">
        <v>0</v>
      </c>
      <c r="BF231" s="24">
        <f>231</f>
        <v>231</v>
      </c>
      <c r="BH231" s="24">
        <f t="shared" si="21"/>
        <v>0</v>
      </c>
      <c r="BI231" s="24">
        <f t="shared" si="22"/>
        <v>0</v>
      </c>
      <c r="BJ231" s="24">
        <f t="shared" si="23"/>
        <v>0</v>
      </c>
      <c r="BK231" s="24"/>
      <c r="BL231" s="24">
        <v>85</v>
      </c>
      <c r="BW231" s="24">
        <v>21</v>
      </c>
      <c r="BX231" s="4" t="s">
        <v>447</v>
      </c>
    </row>
    <row r="232" spans="1:76">
      <c r="A232" s="2" t="s">
        <v>448</v>
      </c>
      <c r="B232" s="3" t="s">
        <v>449</v>
      </c>
      <c r="C232" s="72" t="s">
        <v>450</v>
      </c>
      <c r="D232" s="67"/>
      <c r="E232" s="3" t="s">
        <v>122</v>
      </c>
      <c r="F232" s="24">
        <v>4</v>
      </c>
      <c r="G232" s="24">
        <v>0</v>
      </c>
      <c r="H232" s="24">
        <f t="shared" si="0"/>
        <v>0</v>
      </c>
      <c r="I232" s="24">
        <f t="shared" si="1"/>
        <v>0</v>
      </c>
      <c r="J232" s="24">
        <f t="shared" si="2"/>
        <v>0</v>
      </c>
      <c r="K232" s="25" t="s">
        <v>51</v>
      </c>
      <c r="Z232" s="24">
        <f t="shared" si="3"/>
        <v>0</v>
      </c>
      <c r="AB232" s="24">
        <f t="shared" si="4"/>
        <v>0</v>
      </c>
      <c r="AC232" s="24">
        <f t="shared" si="5"/>
        <v>0</v>
      </c>
      <c r="AD232" s="24">
        <f t="shared" si="6"/>
        <v>0</v>
      </c>
      <c r="AE232" s="24">
        <f t="shared" si="7"/>
        <v>0</v>
      </c>
      <c r="AF232" s="24">
        <f t="shared" si="8"/>
        <v>0</v>
      </c>
      <c r="AG232" s="24">
        <f t="shared" si="9"/>
        <v>0</v>
      </c>
      <c r="AH232" s="24">
        <f t="shared" si="10"/>
        <v>0</v>
      </c>
      <c r="AI232" s="10" t="s">
        <v>51</v>
      </c>
      <c r="AJ232" s="24">
        <f t="shared" si="11"/>
        <v>0</v>
      </c>
      <c r="AK232" s="24">
        <f t="shared" si="12"/>
        <v>0</v>
      </c>
      <c r="AL232" s="24">
        <f t="shared" si="13"/>
        <v>0</v>
      </c>
      <c r="AN232" s="24">
        <v>21</v>
      </c>
      <c r="AO232" s="24">
        <f t="shared" si="14"/>
        <v>0</v>
      </c>
      <c r="AP232" s="24">
        <f t="shared" si="15"/>
        <v>0</v>
      </c>
      <c r="AQ232" s="26" t="s">
        <v>54</v>
      </c>
      <c r="AV232" s="24">
        <f t="shared" si="16"/>
        <v>0</v>
      </c>
      <c r="AW232" s="24">
        <f t="shared" si="17"/>
        <v>0</v>
      </c>
      <c r="AX232" s="24">
        <f t="shared" si="18"/>
        <v>0</v>
      </c>
      <c r="AY232" s="26" t="s">
        <v>405</v>
      </c>
      <c r="AZ232" s="26" t="s">
        <v>406</v>
      </c>
      <c r="BA232" s="10" t="s">
        <v>59</v>
      </c>
      <c r="BC232" s="24">
        <f t="shared" si="19"/>
        <v>0</v>
      </c>
      <c r="BD232" s="24">
        <f t="shared" si="20"/>
        <v>0</v>
      </c>
      <c r="BE232" s="24">
        <v>0</v>
      </c>
      <c r="BF232" s="24">
        <f>232</f>
        <v>232</v>
      </c>
      <c r="BH232" s="24">
        <f t="shared" si="21"/>
        <v>0</v>
      </c>
      <c r="BI232" s="24">
        <f t="shared" si="22"/>
        <v>0</v>
      </c>
      <c r="BJ232" s="24">
        <f t="shared" si="23"/>
        <v>0</v>
      </c>
      <c r="BK232" s="24"/>
      <c r="BL232" s="24">
        <v>85</v>
      </c>
      <c r="BW232" s="24">
        <v>21</v>
      </c>
      <c r="BX232" s="4" t="s">
        <v>450</v>
      </c>
    </row>
    <row r="233" spans="1:76">
      <c r="A233" s="2" t="s">
        <v>451</v>
      </c>
      <c r="B233" s="3" t="s">
        <v>452</v>
      </c>
      <c r="C233" s="72" t="s">
        <v>453</v>
      </c>
      <c r="D233" s="67"/>
      <c r="E233" s="3" t="s">
        <v>122</v>
      </c>
      <c r="F233" s="24">
        <v>2</v>
      </c>
      <c r="G233" s="24">
        <v>0</v>
      </c>
      <c r="H233" s="24">
        <f t="shared" si="0"/>
        <v>0</v>
      </c>
      <c r="I233" s="24">
        <f t="shared" si="1"/>
        <v>0</v>
      </c>
      <c r="J233" s="24">
        <f t="shared" si="2"/>
        <v>0</v>
      </c>
      <c r="K233" s="25" t="s">
        <v>51</v>
      </c>
      <c r="Z233" s="24">
        <f t="shared" si="3"/>
        <v>0</v>
      </c>
      <c r="AB233" s="24">
        <f t="shared" si="4"/>
        <v>0</v>
      </c>
      <c r="AC233" s="24">
        <f t="shared" si="5"/>
        <v>0</v>
      </c>
      <c r="AD233" s="24">
        <f t="shared" si="6"/>
        <v>0</v>
      </c>
      <c r="AE233" s="24">
        <f t="shared" si="7"/>
        <v>0</v>
      </c>
      <c r="AF233" s="24">
        <f t="shared" si="8"/>
        <v>0</v>
      </c>
      <c r="AG233" s="24">
        <f t="shared" si="9"/>
        <v>0</v>
      </c>
      <c r="AH233" s="24">
        <f t="shared" si="10"/>
        <v>0</v>
      </c>
      <c r="AI233" s="10" t="s">
        <v>51</v>
      </c>
      <c r="AJ233" s="24">
        <f t="shared" si="11"/>
        <v>0</v>
      </c>
      <c r="AK233" s="24">
        <f t="shared" si="12"/>
        <v>0</v>
      </c>
      <c r="AL233" s="24">
        <f t="shared" si="13"/>
        <v>0</v>
      </c>
      <c r="AN233" s="24">
        <v>21</v>
      </c>
      <c r="AO233" s="24">
        <f t="shared" si="14"/>
        <v>0</v>
      </c>
      <c r="AP233" s="24">
        <f t="shared" si="15"/>
        <v>0</v>
      </c>
      <c r="AQ233" s="26" t="s">
        <v>54</v>
      </c>
      <c r="AV233" s="24">
        <f t="shared" si="16"/>
        <v>0</v>
      </c>
      <c r="AW233" s="24">
        <f t="shared" si="17"/>
        <v>0</v>
      </c>
      <c r="AX233" s="24">
        <f t="shared" si="18"/>
        <v>0</v>
      </c>
      <c r="AY233" s="26" t="s">
        <v>405</v>
      </c>
      <c r="AZ233" s="26" t="s">
        <v>406</v>
      </c>
      <c r="BA233" s="10" t="s">
        <v>59</v>
      </c>
      <c r="BC233" s="24">
        <f t="shared" si="19"/>
        <v>0</v>
      </c>
      <c r="BD233" s="24">
        <f t="shared" si="20"/>
        <v>0</v>
      </c>
      <c r="BE233" s="24">
        <v>0</v>
      </c>
      <c r="BF233" s="24">
        <f>233</f>
        <v>233</v>
      </c>
      <c r="BH233" s="24">
        <f t="shared" si="21"/>
        <v>0</v>
      </c>
      <c r="BI233" s="24">
        <f t="shared" si="22"/>
        <v>0</v>
      </c>
      <c r="BJ233" s="24">
        <f t="shared" si="23"/>
        <v>0</v>
      </c>
      <c r="BK233" s="24"/>
      <c r="BL233" s="24">
        <v>85</v>
      </c>
      <c r="BW233" s="24">
        <v>21</v>
      </c>
      <c r="BX233" s="4" t="s">
        <v>453</v>
      </c>
    </row>
    <row r="234" spans="1:76">
      <c r="A234" s="2" t="s">
        <v>454</v>
      </c>
      <c r="B234" s="3" t="s">
        <v>455</v>
      </c>
      <c r="C234" s="72" t="s">
        <v>456</v>
      </c>
      <c r="D234" s="67"/>
      <c r="E234" s="3" t="s">
        <v>122</v>
      </c>
      <c r="F234" s="24">
        <v>5</v>
      </c>
      <c r="G234" s="24">
        <v>0</v>
      </c>
      <c r="H234" s="24">
        <f t="shared" si="0"/>
        <v>0</v>
      </c>
      <c r="I234" s="24">
        <f t="shared" si="1"/>
        <v>0</v>
      </c>
      <c r="J234" s="24">
        <f t="shared" si="2"/>
        <v>0</v>
      </c>
      <c r="K234" s="25" t="s">
        <v>71</v>
      </c>
      <c r="Z234" s="24">
        <f t="shared" si="3"/>
        <v>0</v>
      </c>
      <c r="AB234" s="24">
        <f t="shared" si="4"/>
        <v>0</v>
      </c>
      <c r="AC234" s="24">
        <f t="shared" si="5"/>
        <v>0</v>
      </c>
      <c r="AD234" s="24">
        <f t="shared" si="6"/>
        <v>0</v>
      </c>
      <c r="AE234" s="24">
        <f t="shared" si="7"/>
        <v>0</v>
      </c>
      <c r="AF234" s="24">
        <f t="shared" si="8"/>
        <v>0</v>
      </c>
      <c r="AG234" s="24">
        <f t="shared" si="9"/>
        <v>0</v>
      </c>
      <c r="AH234" s="24">
        <f t="shared" si="10"/>
        <v>0</v>
      </c>
      <c r="AI234" s="10" t="s">
        <v>51</v>
      </c>
      <c r="AJ234" s="24">
        <f t="shared" si="11"/>
        <v>0</v>
      </c>
      <c r="AK234" s="24">
        <f t="shared" si="12"/>
        <v>0</v>
      </c>
      <c r="AL234" s="24">
        <f t="shared" si="13"/>
        <v>0</v>
      </c>
      <c r="AN234" s="24">
        <v>21</v>
      </c>
      <c r="AO234" s="24">
        <f>G234*0.000024082</f>
        <v>0</v>
      </c>
      <c r="AP234" s="24">
        <f>G234*(1-0.000024082)</f>
        <v>0</v>
      </c>
      <c r="AQ234" s="26" t="s">
        <v>54</v>
      </c>
      <c r="AV234" s="24">
        <f t="shared" si="16"/>
        <v>0</v>
      </c>
      <c r="AW234" s="24">
        <f t="shared" si="17"/>
        <v>0</v>
      </c>
      <c r="AX234" s="24">
        <f t="shared" si="18"/>
        <v>0</v>
      </c>
      <c r="AY234" s="26" t="s">
        <v>405</v>
      </c>
      <c r="AZ234" s="26" t="s">
        <v>406</v>
      </c>
      <c r="BA234" s="10" t="s">
        <v>59</v>
      </c>
      <c r="BC234" s="24">
        <f t="shared" si="19"/>
        <v>0</v>
      </c>
      <c r="BD234" s="24">
        <f t="shared" si="20"/>
        <v>0</v>
      </c>
      <c r="BE234" s="24">
        <v>0</v>
      </c>
      <c r="BF234" s="24">
        <f>234</f>
        <v>234</v>
      </c>
      <c r="BH234" s="24">
        <f t="shared" si="21"/>
        <v>0</v>
      </c>
      <c r="BI234" s="24">
        <f t="shared" si="22"/>
        <v>0</v>
      </c>
      <c r="BJ234" s="24">
        <f t="shared" si="23"/>
        <v>0</v>
      </c>
      <c r="BK234" s="24"/>
      <c r="BL234" s="24">
        <v>85</v>
      </c>
      <c r="BW234" s="24">
        <v>21</v>
      </c>
      <c r="BX234" s="4" t="s">
        <v>456</v>
      </c>
    </row>
    <row r="235" spans="1:76">
      <c r="A235" s="27"/>
      <c r="C235" s="28" t="s">
        <v>457</v>
      </c>
      <c r="D235" s="28" t="s">
        <v>51</v>
      </c>
      <c r="F235" s="29">
        <v>2</v>
      </c>
      <c r="K235" s="30"/>
    </row>
    <row r="236" spans="1:76">
      <c r="A236" s="27"/>
      <c r="C236" s="28" t="s">
        <v>458</v>
      </c>
      <c r="D236" s="28" t="s">
        <v>51</v>
      </c>
      <c r="F236" s="29">
        <v>3</v>
      </c>
      <c r="K236" s="30"/>
    </row>
    <row r="237" spans="1:76">
      <c r="A237" s="2" t="s">
        <v>459</v>
      </c>
      <c r="B237" s="3" t="s">
        <v>460</v>
      </c>
      <c r="C237" s="72" t="s">
        <v>461</v>
      </c>
      <c r="D237" s="67"/>
      <c r="E237" s="3" t="s">
        <v>122</v>
      </c>
      <c r="F237" s="24">
        <v>2</v>
      </c>
      <c r="G237" s="24">
        <v>0</v>
      </c>
      <c r="H237" s="24">
        <f>F237*AO237</f>
        <v>0</v>
      </c>
      <c r="I237" s="24">
        <f>F237*AP237</f>
        <v>0</v>
      </c>
      <c r="J237" s="24">
        <f>F237*G237</f>
        <v>0</v>
      </c>
      <c r="K237" s="25" t="s">
        <v>51</v>
      </c>
      <c r="Z237" s="24">
        <f>IF(AQ237="5",BJ237,0)</f>
        <v>0</v>
      </c>
      <c r="AB237" s="24">
        <f>IF(AQ237="1",BH237,0)</f>
        <v>0</v>
      </c>
      <c r="AC237" s="24">
        <f>IF(AQ237="1",BI237,0)</f>
        <v>0</v>
      </c>
      <c r="AD237" s="24">
        <f>IF(AQ237="7",BH237,0)</f>
        <v>0</v>
      </c>
      <c r="AE237" s="24">
        <f>IF(AQ237="7",BI237,0)</f>
        <v>0</v>
      </c>
      <c r="AF237" s="24">
        <f>IF(AQ237="2",BH237,0)</f>
        <v>0</v>
      </c>
      <c r="AG237" s="24">
        <f>IF(AQ237="2",BI237,0)</f>
        <v>0</v>
      </c>
      <c r="AH237" s="24">
        <f>IF(AQ237="0",BJ237,0)</f>
        <v>0</v>
      </c>
      <c r="AI237" s="10" t="s">
        <v>51</v>
      </c>
      <c r="AJ237" s="24">
        <f>IF(AN237=0,J237,0)</f>
        <v>0</v>
      </c>
      <c r="AK237" s="24">
        <f>IF(AN237=12,J237,0)</f>
        <v>0</v>
      </c>
      <c r="AL237" s="24">
        <f>IF(AN237=21,J237,0)</f>
        <v>0</v>
      </c>
      <c r="AN237" s="24">
        <v>21</v>
      </c>
      <c r="AO237" s="24">
        <f>G237*1</f>
        <v>0</v>
      </c>
      <c r="AP237" s="24">
        <f>G237*(1-1)</f>
        <v>0</v>
      </c>
      <c r="AQ237" s="26" t="s">
        <v>54</v>
      </c>
      <c r="AV237" s="24">
        <f>AW237+AX237</f>
        <v>0</v>
      </c>
      <c r="AW237" s="24">
        <f>F237*AO237</f>
        <v>0</v>
      </c>
      <c r="AX237" s="24">
        <f>F237*AP237</f>
        <v>0</v>
      </c>
      <c r="AY237" s="26" t="s">
        <v>405</v>
      </c>
      <c r="AZ237" s="26" t="s">
        <v>406</v>
      </c>
      <c r="BA237" s="10" t="s">
        <v>59</v>
      </c>
      <c r="BC237" s="24">
        <f>AW237+AX237</f>
        <v>0</v>
      </c>
      <c r="BD237" s="24">
        <f>G237/(100-BE237)*100</f>
        <v>0</v>
      </c>
      <c r="BE237" s="24">
        <v>0</v>
      </c>
      <c r="BF237" s="24">
        <f>237</f>
        <v>237</v>
      </c>
      <c r="BH237" s="24">
        <f>F237*AO237</f>
        <v>0</v>
      </c>
      <c r="BI237" s="24">
        <f>F237*AP237</f>
        <v>0</v>
      </c>
      <c r="BJ237" s="24">
        <f>F237*G237</f>
        <v>0</v>
      </c>
      <c r="BK237" s="24"/>
      <c r="BL237" s="24">
        <v>85</v>
      </c>
      <c r="BW237" s="24">
        <v>21</v>
      </c>
      <c r="BX237" s="4" t="s">
        <v>461</v>
      </c>
    </row>
    <row r="238" spans="1:76">
      <c r="A238" s="2" t="s">
        <v>462</v>
      </c>
      <c r="B238" s="3" t="s">
        <v>463</v>
      </c>
      <c r="C238" s="72" t="s">
        <v>464</v>
      </c>
      <c r="D238" s="67"/>
      <c r="E238" s="3" t="s">
        <v>122</v>
      </c>
      <c r="F238" s="24">
        <v>3</v>
      </c>
      <c r="G238" s="24">
        <v>0</v>
      </c>
      <c r="H238" s="24">
        <f>F238*AO238</f>
        <v>0</v>
      </c>
      <c r="I238" s="24">
        <f>F238*AP238</f>
        <v>0</v>
      </c>
      <c r="J238" s="24">
        <f>F238*G238</f>
        <v>0</v>
      </c>
      <c r="K238" s="25" t="s">
        <v>51</v>
      </c>
      <c r="Z238" s="24">
        <f>IF(AQ238="5",BJ238,0)</f>
        <v>0</v>
      </c>
      <c r="AB238" s="24">
        <f>IF(AQ238="1",BH238,0)</f>
        <v>0</v>
      </c>
      <c r="AC238" s="24">
        <f>IF(AQ238="1",BI238,0)</f>
        <v>0</v>
      </c>
      <c r="AD238" s="24">
        <f>IF(AQ238="7",BH238,0)</f>
        <v>0</v>
      </c>
      <c r="AE238" s="24">
        <f>IF(AQ238="7",BI238,0)</f>
        <v>0</v>
      </c>
      <c r="AF238" s="24">
        <f>IF(AQ238="2",BH238,0)</f>
        <v>0</v>
      </c>
      <c r="AG238" s="24">
        <f>IF(AQ238="2",BI238,0)</f>
        <v>0</v>
      </c>
      <c r="AH238" s="24">
        <f>IF(AQ238="0",BJ238,0)</f>
        <v>0</v>
      </c>
      <c r="AI238" s="10" t="s">
        <v>51</v>
      </c>
      <c r="AJ238" s="24">
        <f>IF(AN238=0,J238,0)</f>
        <v>0</v>
      </c>
      <c r="AK238" s="24">
        <f>IF(AN238=12,J238,0)</f>
        <v>0</v>
      </c>
      <c r="AL238" s="24">
        <f>IF(AN238=21,J238,0)</f>
        <v>0</v>
      </c>
      <c r="AN238" s="24">
        <v>21</v>
      </c>
      <c r="AO238" s="24">
        <f>G238*1</f>
        <v>0</v>
      </c>
      <c r="AP238" s="24">
        <f>G238*(1-1)</f>
        <v>0</v>
      </c>
      <c r="AQ238" s="26" t="s">
        <v>54</v>
      </c>
      <c r="AV238" s="24">
        <f>AW238+AX238</f>
        <v>0</v>
      </c>
      <c r="AW238" s="24">
        <f>F238*AO238</f>
        <v>0</v>
      </c>
      <c r="AX238" s="24">
        <f>F238*AP238</f>
        <v>0</v>
      </c>
      <c r="AY238" s="26" t="s">
        <v>405</v>
      </c>
      <c r="AZ238" s="26" t="s">
        <v>406</v>
      </c>
      <c r="BA238" s="10" t="s">
        <v>59</v>
      </c>
      <c r="BC238" s="24">
        <f>AW238+AX238</f>
        <v>0</v>
      </c>
      <c r="BD238" s="24">
        <f>G238/(100-BE238)*100</f>
        <v>0</v>
      </c>
      <c r="BE238" s="24">
        <v>0</v>
      </c>
      <c r="BF238" s="24">
        <f>238</f>
        <v>238</v>
      </c>
      <c r="BH238" s="24">
        <f>F238*AO238</f>
        <v>0</v>
      </c>
      <c r="BI238" s="24">
        <f>F238*AP238</f>
        <v>0</v>
      </c>
      <c r="BJ238" s="24">
        <f>F238*G238</f>
        <v>0</v>
      </c>
      <c r="BK238" s="24"/>
      <c r="BL238" s="24">
        <v>85</v>
      </c>
      <c r="BW238" s="24">
        <v>21</v>
      </c>
      <c r="BX238" s="4" t="s">
        <v>464</v>
      </c>
    </row>
    <row r="239" spans="1:76">
      <c r="A239" s="2" t="s">
        <v>465</v>
      </c>
      <c r="B239" s="3" t="s">
        <v>466</v>
      </c>
      <c r="C239" s="72" t="s">
        <v>467</v>
      </c>
      <c r="D239" s="67"/>
      <c r="E239" s="3" t="s">
        <v>122</v>
      </c>
      <c r="F239" s="24">
        <v>4</v>
      </c>
      <c r="G239" s="24">
        <v>0</v>
      </c>
      <c r="H239" s="24">
        <f>F239*AO239</f>
        <v>0</v>
      </c>
      <c r="I239" s="24">
        <f>F239*AP239</f>
        <v>0</v>
      </c>
      <c r="J239" s="24">
        <f>F239*G239</f>
        <v>0</v>
      </c>
      <c r="K239" s="25" t="s">
        <v>71</v>
      </c>
      <c r="Z239" s="24">
        <f>IF(AQ239="5",BJ239,0)</f>
        <v>0</v>
      </c>
      <c r="AB239" s="24">
        <f>IF(AQ239="1",BH239,0)</f>
        <v>0</v>
      </c>
      <c r="AC239" s="24">
        <f>IF(AQ239="1",BI239,0)</f>
        <v>0</v>
      </c>
      <c r="AD239" s="24">
        <f>IF(AQ239="7",BH239,0)</f>
        <v>0</v>
      </c>
      <c r="AE239" s="24">
        <f>IF(AQ239="7",BI239,0)</f>
        <v>0</v>
      </c>
      <c r="AF239" s="24">
        <f>IF(AQ239="2",BH239,0)</f>
        <v>0</v>
      </c>
      <c r="AG239" s="24">
        <f>IF(AQ239="2",BI239,0)</f>
        <v>0</v>
      </c>
      <c r="AH239" s="24">
        <f>IF(AQ239="0",BJ239,0)</f>
        <v>0</v>
      </c>
      <c r="AI239" s="10" t="s">
        <v>51</v>
      </c>
      <c r="AJ239" s="24">
        <f>IF(AN239=0,J239,0)</f>
        <v>0</v>
      </c>
      <c r="AK239" s="24">
        <f>IF(AN239=12,J239,0)</f>
        <v>0</v>
      </c>
      <c r="AL239" s="24">
        <f>IF(AN239=21,J239,0)</f>
        <v>0</v>
      </c>
      <c r="AN239" s="24">
        <v>21</v>
      </c>
      <c r="AO239" s="24">
        <f>G239*0.000025918</f>
        <v>0</v>
      </c>
      <c r="AP239" s="24">
        <f>G239*(1-0.000025918)</f>
        <v>0</v>
      </c>
      <c r="AQ239" s="26" t="s">
        <v>54</v>
      </c>
      <c r="AV239" s="24">
        <f>AW239+AX239</f>
        <v>0</v>
      </c>
      <c r="AW239" s="24">
        <f>F239*AO239</f>
        <v>0</v>
      </c>
      <c r="AX239" s="24">
        <f>F239*AP239</f>
        <v>0</v>
      </c>
      <c r="AY239" s="26" t="s">
        <v>405</v>
      </c>
      <c r="AZ239" s="26" t="s">
        <v>406</v>
      </c>
      <c r="BA239" s="10" t="s">
        <v>59</v>
      </c>
      <c r="BC239" s="24">
        <f>AW239+AX239</f>
        <v>0</v>
      </c>
      <c r="BD239" s="24">
        <f>G239/(100-BE239)*100</f>
        <v>0</v>
      </c>
      <c r="BE239" s="24">
        <v>0</v>
      </c>
      <c r="BF239" s="24">
        <f>239</f>
        <v>239</v>
      </c>
      <c r="BH239" s="24">
        <f>F239*AO239</f>
        <v>0</v>
      </c>
      <c r="BI239" s="24">
        <f>F239*AP239</f>
        <v>0</v>
      </c>
      <c r="BJ239" s="24">
        <f>F239*G239</f>
        <v>0</v>
      </c>
      <c r="BK239" s="24"/>
      <c r="BL239" s="24">
        <v>85</v>
      </c>
      <c r="BW239" s="24">
        <v>21</v>
      </c>
      <c r="BX239" s="4" t="s">
        <v>467</v>
      </c>
    </row>
    <row r="240" spans="1:76">
      <c r="A240" s="27"/>
      <c r="C240" s="28" t="s">
        <v>468</v>
      </c>
      <c r="D240" s="28" t="s">
        <v>51</v>
      </c>
      <c r="F240" s="29">
        <v>2</v>
      </c>
      <c r="K240" s="30"/>
    </row>
    <row r="241" spans="1:76">
      <c r="A241" s="27"/>
      <c r="C241" s="28" t="s">
        <v>469</v>
      </c>
      <c r="D241" s="28" t="s">
        <v>51</v>
      </c>
      <c r="F241" s="29">
        <v>2</v>
      </c>
      <c r="K241" s="30"/>
    </row>
    <row r="242" spans="1:76">
      <c r="A242" s="2" t="s">
        <v>470</v>
      </c>
      <c r="B242" s="3" t="s">
        <v>471</v>
      </c>
      <c r="C242" s="72" t="s">
        <v>472</v>
      </c>
      <c r="D242" s="67"/>
      <c r="E242" s="3" t="s">
        <v>122</v>
      </c>
      <c r="F242" s="24">
        <v>2</v>
      </c>
      <c r="G242" s="24">
        <v>0</v>
      </c>
      <c r="H242" s="24">
        <f>F242*AO242</f>
        <v>0</v>
      </c>
      <c r="I242" s="24">
        <f>F242*AP242</f>
        <v>0</v>
      </c>
      <c r="J242" s="24">
        <f>F242*G242</f>
        <v>0</v>
      </c>
      <c r="K242" s="25" t="s">
        <v>51</v>
      </c>
      <c r="Z242" s="24">
        <f>IF(AQ242="5",BJ242,0)</f>
        <v>0</v>
      </c>
      <c r="AB242" s="24">
        <f>IF(AQ242="1",BH242,0)</f>
        <v>0</v>
      </c>
      <c r="AC242" s="24">
        <f>IF(AQ242="1",BI242,0)</f>
        <v>0</v>
      </c>
      <c r="AD242" s="24">
        <f>IF(AQ242="7",BH242,0)</f>
        <v>0</v>
      </c>
      <c r="AE242" s="24">
        <f>IF(AQ242="7",BI242,0)</f>
        <v>0</v>
      </c>
      <c r="AF242" s="24">
        <f>IF(AQ242="2",BH242,0)</f>
        <v>0</v>
      </c>
      <c r="AG242" s="24">
        <f>IF(AQ242="2",BI242,0)</f>
        <v>0</v>
      </c>
      <c r="AH242" s="24">
        <f>IF(AQ242="0",BJ242,0)</f>
        <v>0</v>
      </c>
      <c r="AI242" s="10" t="s">
        <v>51</v>
      </c>
      <c r="AJ242" s="24">
        <f>IF(AN242=0,J242,0)</f>
        <v>0</v>
      </c>
      <c r="AK242" s="24">
        <f>IF(AN242=12,J242,0)</f>
        <v>0</v>
      </c>
      <c r="AL242" s="24">
        <f>IF(AN242=21,J242,0)</f>
        <v>0</v>
      </c>
      <c r="AN242" s="24">
        <v>21</v>
      </c>
      <c r="AO242" s="24">
        <f>G242*1</f>
        <v>0</v>
      </c>
      <c r="AP242" s="24">
        <f>G242*(1-1)</f>
        <v>0</v>
      </c>
      <c r="AQ242" s="26" t="s">
        <v>54</v>
      </c>
      <c r="AV242" s="24">
        <f>AW242+AX242</f>
        <v>0</v>
      </c>
      <c r="AW242" s="24">
        <f>F242*AO242</f>
        <v>0</v>
      </c>
      <c r="AX242" s="24">
        <f>F242*AP242</f>
        <v>0</v>
      </c>
      <c r="AY242" s="26" t="s">
        <v>405</v>
      </c>
      <c r="AZ242" s="26" t="s">
        <v>406</v>
      </c>
      <c r="BA242" s="10" t="s">
        <v>59</v>
      </c>
      <c r="BC242" s="24">
        <f>AW242+AX242</f>
        <v>0</v>
      </c>
      <c r="BD242" s="24">
        <f>G242/(100-BE242)*100</f>
        <v>0</v>
      </c>
      <c r="BE242" s="24">
        <v>0</v>
      </c>
      <c r="BF242" s="24">
        <f>242</f>
        <v>242</v>
      </c>
      <c r="BH242" s="24">
        <f>F242*AO242</f>
        <v>0</v>
      </c>
      <c r="BI242" s="24">
        <f>F242*AP242</f>
        <v>0</v>
      </c>
      <c r="BJ242" s="24">
        <f>F242*G242</f>
        <v>0</v>
      </c>
      <c r="BK242" s="24"/>
      <c r="BL242" s="24">
        <v>85</v>
      </c>
      <c r="BW242" s="24">
        <v>21</v>
      </c>
      <c r="BX242" s="4" t="s">
        <v>472</v>
      </c>
    </row>
    <row r="243" spans="1:76">
      <c r="A243" s="2" t="s">
        <v>473</v>
      </c>
      <c r="B243" s="3" t="s">
        <v>474</v>
      </c>
      <c r="C243" s="72" t="s">
        <v>475</v>
      </c>
      <c r="D243" s="67"/>
      <c r="E243" s="3" t="s">
        <v>122</v>
      </c>
      <c r="F243" s="24">
        <v>2</v>
      </c>
      <c r="G243" s="24">
        <v>0</v>
      </c>
      <c r="H243" s="24">
        <f>F243*AO243</f>
        <v>0</v>
      </c>
      <c r="I243" s="24">
        <f>F243*AP243</f>
        <v>0</v>
      </c>
      <c r="J243" s="24">
        <f>F243*G243</f>
        <v>0</v>
      </c>
      <c r="K243" s="25" t="s">
        <v>51</v>
      </c>
      <c r="Z243" s="24">
        <f>IF(AQ243="5",BJ243,0)</f>
        <v>0</v>
      </c>
      <c r="AB243" s="24">
        <f>IF(AQ243="1",BH243,0)</f>
        <v>0</v>
      </c>
      <c r="AC243" s="24">
        <f>IF(AQ243="1",BI243,0)</f>
        <v>0</v>
      </c>
      <c r="AD243" s="24">
        <f>IF(AQ243="7",BH243,0)</f>
        <v>0</v>
      </c>
      <c r="AE243" s="24">
        <f>IF(AQ243="7",BI243,0)</f>
        <v>0</v>
      </c>
      <c r="AF243" s="24">
        <f>IF(AQ243="2",BH243,0)</f>
        <v>0</v>
      </c>
      <c r="AG243" s="24">
        <f>IF(AQ243="2",BI243,0)</f>
        <v>0</v>
      </c>
      <c r="AH243" s="24">
        <f>IF(AQ243="0",BJ243,0)</f>
        <v>0</v>
      </c>
      <c r="AI243" s="10" t="s">
        <v>51</v>
      </c>
      <c r="AJ243" s="24">
        <f>IF(AN243=0,J243,0)</f>
        <v>0</v>
      </c>
      <c r="AK243" s="24">
        <f>IF(AN243=12,J243,0)</f>
        <v>0</v>
      </c>
      <c r="AL243" s="24">
        <f>IF(AN243=21,J243,0)</f>
        <v>0</v>
      </c>
      <c r="AN243" s="24">
        <v>21</v>
      </c>
      <c r="AO243" s="24">
        <f>G243*1</f>
        <v>0</v>
      </c>
      <c r="AP243" s="24">
        <f>G243*(1-1)</f>
        <v>0</v>
      </c>
      <c r="AQ243" s="26" t="s">
        <v>54</v>
      </c>
      <c r="AV243" s="24">
        <f>AW243+AX243</f>
        <v>0</v>
      </c>
      <c r="AW243" s="24">
        <f>F243*AO243</f>
        <v>0</v>
      </c>
      <c r="AX243" s="24">
        <f>F243*AP243</f>
        <v>0</v>
      </c>
      <c r="AY243" s="26" t="s">
        <v>405</v>
      </c>
      <c r="AZ243" s="26" t="s">
        <v>406</v>
      </c>
      <c r="BA243" s="10" t="s">
        <v>59</v>
      </c>
      <c r="BC243" s="24">
        <f>AW243+AX243</f>
        <v>0</v>
      </c>
      <c r="BD243" s="24">
        <f>G243/(100-BE243)*100</f>
        <v>0</v>
      </c>
      <c r="BE243" s="24">
        <v>0</v>
      </c>
      <c r="BF243" s="24">
        <f>243</f>
        <v>243</v>
      </c>
      <c r="BH243" s="24">
        <f>F243*AO243</f>
        <v>0</v>
      </c>
      <c r="BI243" s="24">
        <f>F243*AP243</f>
        <v>0</v>
      </c>
      <c r="BJ243" s="24">
        <f>F243*G243</f>
        <v>0</v>
      </c>
      <c r="BK243" s="24"/>
      <c r="BL243" s="24">
        <v>85</v>
      </c>
      <c r="BW243" s="24">
        <v>21</v>
      </c>
      <c r="BX243" s="4" t="s">
        <v>475</v>
      </c>
    </row>
    <row r="244" spans="1:76">
      <c r="A244" s="31" t="s">
        <v>51</v>
      </c>
      <c r="B244" s="32" t="s">
        <v>476</v>
      </c>
      <c r="C244" s="88" t="s">
        <v>477</v>
      </c>
      <c r="D244" s="89"/>
      <c r="E244" s="33" t="s">
        <v>4</v>
      </c>
      <c r="F244" s="33" t="s">
        <v>4</v>
      </c>
      <c r="G244" s="33" t="s">
        <v>4</v>
      </c>
      <c r="H244" s="1">
        <f>SUM(H245:H260)</f>
        <v>0</v>
      </c>
      <c r="I244" s="1">
        <f>SUM(I245:I260)</f>
        <v>0</v>
      </c>
      <c r="J244" s="1">
        <f>SUM(J245:J260)</f>
        <v>0</v>
      </c>
      <c r="K244" s="34" t="s">
        <v>51</v>
      </c>
      <c r="AI244" s="10" t="s">
        <v>51</v>
      </c>
      <c r="AS244" s="1">
        <f>SUM(AJ245:AJ260)</f>
        <v>0</v>
      </c>
      <c r="AT244" s="1">
        <f>SUM(AK245:AK260)</f>
        <v>0</v>
      </c>
      <c r="AU244" s="1">
        <f>SUM(AL245:AL260)</f>
        <v>0</v>
      </c>
    </row>
    <row r="245" spans="1:76">
      <c r="A245" s="2" t="s">
        <v>400</v>
      </c>
      <c r="B245" s="3" t="s">
        <v>478</v>
      </c>
      <c r="C245" s="72" t="s">
        <v>479</v>
      </c>
      <c r="D245" s="67"/>
      <c r="E245" s="3" t="s">
        <v>70</v>
      </c>
      <c r="F245" s="24">
        <v>137.9</v>
      </c>
      <c r="G245" s="24">
        <v>0</v>
      </c>
      <c r="H245" s="24">
        <f>F245*AO245</f>
        <v>0</v>
      </c>
      <c r="I245" s="24">
        <f>F245*AP245</f>
        <v>0</v>
      </c>
      <c r="J245" s="24">
        <f>F245*G245</f>
        <v>0</v>
      </c>
      <c r="K245" s="25" t="s">
        <v>71</v>
      </c>
      <c r="Z245" s="24">
        <f>IF(AQ245="5",BJ245,0)</f>
        <v>0</v>
      </c>
      <c r="AB245" s="24">
        <f>IF(AQ245="1",BH245,0)</f>
        <v>0</v>
      </c>
      <c r="AC245" s="24">
        <f>IF(AQ245="1",BI245,0)</f>
        <v>0</v>
      </c>
      <c r="AD245" s="24">
        <f>IF(AQ245="7",BH245,0)</f>
        <v>0</v>
      </c>
      <c r="AE245" s="24">
        <f>IF(AQ245="7",BI245,0)</f>
        <v>0</v>
      </c>
      <c r="AF245" s="24">
        <f>IF(AQ245="2",BH245,0)</f>
        <v>0</v>
      </c>
      <c r="AG245" s="24">
        <f>IF(AQ245="2",BI245,0)</f>
        <v>0</v>
      </c>
      <c r="AH245" s="24">
        <f>IF(AQ245="0",BJ245,0)</f>
        <v>0</v>
      </c>
      <c r="AI245" s="10" t="s">
        <v>51</v>
      </c>
      <c r="AJ245" s="24">
        <f>IF(AN245=0,J245,0)</f>
        <v>0</v>
      </c>
      <c r="AK245" s="24">
        <f>IF(AN245=12,J245,0)</f>
        <v>0</v>
      </c>
      <c r="AL245" s="24">
        <f>IF(AN245=21,J245,0)</f>
        <v>0</v>
      </c>
      <c r="AN245" s="24">
        <v>21</v>
      </c>
      <c r="AO245" s="24">
        <f>G245*0</f>
        <v>0</v>
      </c>
      <c r="AP245" s="24">
        <f>G245*(1-0)</f>
        <v>0</v>
      </c>
      <c r="AQ245" s="26" t="s">
        <v>54</v>
      </c>
      <c r="AV245" s="24">
        <f>AW245+AX245</f>
        <v>0</v>
      </c>
      <c r="AW245" s="24">
        <f>F245*AO245</f>
        <v>0</v>
      </c>
      <c r="AX245" s="24">
        <f>F245*AP245</f>
        <v>0</v>
      </c>
      <c r="AY245" s="26" t="s">
        <v>480</v>
      </c>
      <c r="AZ245" s="26" t="s">
        <v>406</v>
      </c>
      <c r="BA245" s="10" t="s">
        <v>59</v>
      </c>
      <c r="BC245" s="24">
        <f>AW245+AX245</f>
        <v>0</v>
      </c>
      <c r="BD245" s="24">
        <f>G245/(100-BE245)*100</f>
        <v>0</v>
      </c>
      <c r="BE245" s="24">
        <v>0</v>
      </c>
      <c r="BF245" s="24">
        <f>245</f>
        <v>245</v>
      </c>
      <c r="BH245" s="24">
        <f>F245*AO245</f>
        <v>0</v>
      </c>
      <c r="BI245" s="24">
        <f>F245*AP245</f>
        <v>0</v>
      </c>
      <c r="BJ245" s="24">
        <f>F245*G245</f>
        <v>0</v>
      </c>
      <c r="BK245" s="24"/>
      <c r="BL245" s="24">
        <v>87</v>
      </c>
      <c r="BW245" s="24">
        <v>21</v>
      </c>
      <c r="BX245" s="4" t="s">
        <v>479</v>
      </c>
    </row>
    <row r="246" spans="1:76">
      <c r="A246" s="27"/>
      <c r="C246" s="28" t="s">
        <v>111</v>
      </c>
      <c r="D246" s="28" t="s">
        <v>51</v>
      </c>
      <c r="F246" s="29">
        <v>137.9</v>
      </c>
      <c r="K246" s="30"/>
    </row>
    <row r="247" spans="1:76">
      <c r="A247" s="2" t="s">
        <v>481</v>
      </c>
      <c r="B247" s="3" t="s">
        <v>482</v>
      </c>
      <c r="C247" s="72" t="s">
        <v>483</v>
      </c>
      <c r="D247" s="67"/>
      <c r="E247" s="3" t="s">
        <v>70</v>
      </c>
      <c r="F247" s="24">
        <v>144.79499999999999</v>
      </c>
      <c r="G247" s="24">
        <v>0</v>
      </c>
      <c r="H247" s="24">
        <f>F247*AO247</f>
        <v>0</v>
      </c>
      <c r="I247" s="24">
        <f>F247*AP247</f>
        <v>0</v>
      </c>
      <c r="J247" s="24">
        <f>F247*G247</f>
        <v>0</v>
      </c>
      <c r="K247" s="25" t="s">
        <v>71</v>
      </c>
      <c r="Z247" s="24">
        <f>IF(AQ247="5",BJ247,0)</f>
        <v>0</v>
      </c>
      <c r="AB247" s="24">
        <f>IF(AQ247="1",BH247,0)</f>
        <v>0</v>
      </c>
      <c r="AC247" s="24">
        <f>IF(AQ247="1",BI247,0)</f>
        <v>0</v>
      </c>
      <c r="AD247" s="24">
        <f>IF(AQ247="7",BH247,0)</f>
        <v>0</v>
      </c>
      <c r="AE247" s="24">
        <f>IF(AQ247="7",BI247,0)</f>
        <v>0</v>
      </c>
      <c r="AF247" s="24">
        <f>IF(AQ247="2",BH247,0)</f>
        <v>0</v>
      </c>
      <c r="AG247" s="24">
        <f>IF(AQ247="2",BI247,0)</f>
        <v>0</v>
      </c>
      <c r="AH247" s="24">
        <f>IF(AQ247="0",BJ247,0)</f>
        <v>0</v>
      </c>
      <c r="AI247" s="10" t="s">
        <v>51</v>
      </c>
      <c r="AJ247" s="24">
        <f>IF(AN247=0,J247,0)</f>
        <v>0</v>
      </c>
      <c r="AK247" s="24">
        <f>IF(AN247=12,J247,0)</f>
        <v>0</v>
      </c>
      <c r="AL247" s="24">
        <f>IF(AN247=21,J247,0)</f>
        <v>0</v>
      </c>
      <c r="AN247" s="24">
        <v>21</v>
      </c>
      <c r="AO247" s="24">
        <f>G247*1</f>
        <v>0</v>
      </c>
      <c r="AP247" s="24">
        <f>G247*(1-1)</f>
        <v>0</v>
      </c>
      <c r="AQ247" s="26" t="s">
        <v>54</v>
      </c>
      <c r="AV247" s="24">
        <f>AW247+AX247</f>
        <v>0</v>
      </c>
      <c r="AW247" s="24">
        <f>F247*AO247</f>
        <v>0</v>
      </c>
      <c r="AX247" s="24">
        <f>F247*AP247</f>
        <v>0</v>
      </c>
      <c r="AY247" s="26" t="s">
        <v>480</v>
      </c>
      <c r="AZ247" s="26" t="s">
        <v>406</v>
      </c>
      <c r="BA247" s="10" t="s">
        <v>59</v>
      </c>
      <c r="BC247" s="24">
        <f>AW247+AX247</f>
        <v>0</v>
      </c>
      <c r="BD247" s="24">
        <f>G247/(100-BE247)*100</f>
        <v>0</v>
      </c>
      <c r="BE247" s="24">
        <v>0</v>
      </c>
      <c r="BF247" s="24">
        <f>247</f>
        <v>247</v>
      </c>
      <c r="BH247" s="24">
        <f>F247*AO247</f>
        <v>0</v>
      </c>
      <c r="BI247" s="24">
        <f>F247*AP247</f>
        <v>0</v>
      </c>
      <c r="BJ247" s="24">
        <f>F247*G247</f>
        <v>0</v>
      </c>
      <c r="BK247" s="24"/>
      <c r="BL247" s="24">
        <v>87</v>
      </c>
      <c r="BW247" s="24">
        <v>21</v>
      </c>
      <c r="BX247" s="4" t="s">
        <v>483</v>
      </c>
    </row>
    <row r="248" spans="1:76">
      <c r="A248" s="27"/>
      <c r="C248" s="28" t="s">
        <v>484</v>
      </c>
      <c r="D248" s="28" t="s">
        <v>51</v>
      </c>
      <c r="F248" s="29">
        <v>144.79499999999999</v>
      </c>
      <c r="K248" s="30"/>
    </row>
    <row r="249" spans="1:76">
      <c r="A249" s="2" t="s">
        <v>476</v>
      </c>
      <c r="B249" s="3" t="s">
        <v>485</v>
      </c>
      <c r="C249" s="72" t="s">
        <v>486</v>
      </c>
      <c r="D249" s="67"/>
      <c r="E249" s="3" t="s">
        <v>70</v>
      </c>
      <c r="F249" s="24">
        <v>137.9</v>
      </c>
      <c r="G249" s="24">
        <v>0</v>
      </c>
      <c r="H249" s="24">
        <f>F249*AO249</f>
        <v>0</v>
      </c>
      <c r="I249" s="24">
        <f>F249*AP249</f>
        <v>0</v>
      </c>
      <c r="J249" s="24">
        <f>F249*G249</f>
        <v>0</v>
      </c>
      <c r="K249" s="25" t="s">
        <v>71</v>
      </c>
      <c r="Z249" s="24">
        <f>IF(AQ249="5",BJ249,0)</f>
        <v>0</v>
      </c>
      <c r="AB249" s="24">
        <f>IF(AQ249="1",BH249,0)</f>
        <v>0</v>
      </c>
      <c r="AC249" s="24">
        <f>IF(AQ249="1",BI249,0)</f>
        <v>0</v>
      </c>
      <c r="AD249" s="24">
        <f>IF(AQ249="7",BH249,0)</f>
        <v>0</v>
      </c>
      <c r="AE249" s="24">
        <f>IF(AQ249="7",BI249,0)</f>
        <v>0</v>
      </c>
      <c r="AF249" s="24">
        <f>IF(AQ249="2",BH249,0)</f>
        <v>0</v>
      </c>
      <c r="AG249" s="24">
        <f>IF(AQ249="2",BI249,0)</f>
        <v>0</v>
      </c>
      <c r="AH249" s="24">
        <f>IF(AQ249="0",BJ249,0)</f>
        <v>0</v>
      </c>
      <c r="AI249" s="10" t="s">
        <v>51</v>
      </c>
      <c r="AJ249" s="24">
        <f>IF(AN249=0,J249,0)</f>
        <v>0</v>
      </c>
      <c r="AK249" s="24">
        <f>IF(AN249=12,J249,0)</f>
        <v>0</v>
      </c>
      <c r="AL249" s="24">
        <f>IF(AN249=21,J249,0)</f>
        <v>0</v>
      </c>
      <c r="AN249" s="24">
        <v>21</v>
      </c>
      <c r="AO249" s="24">
        <f>G249*0</f>
        <v>0</v>
      </c>
      <c r="AP249" s="24">
        <f>G249*(1-0)</f>
        <v>0</v>
      </c>
      <c r="AQ249" s="26" t="s">
        <v>54</v>
      </c>
      <c r="AV249" s="24">
        <f>AW249+AX249</f>
        <v>0</v>
      </c>
      <c r="AW249" s="24">
        <f>F249*AO249</f>
        <v>0</v>
      </c>
      <c r="AX249" s="24">
        <f>F249*AP249</f>
        <v>0</v>
      </c>
      <c r="AY249" s="26" t="s">
        <v>480</v>
      </c>
      <c r="AZ249" s="26" t="s">
        <v>406</v>
      </c>
      <c r="BA249" s="10" t="s">
        <v>59</v>
      </c>
      <c r="BC249" s="24">
        <f>AW249+AX249</f>
        <v>0</v>
      </c>
      <c r="BD249" s="24">
        <f>G249/(100-BE249)*100</f>
        <v>0</v>
      </c>
      <c r="BE249" s="24">
        <v>0</v>
      </c>
      <c r="BF249" s="24">
        <f>249</f>
        <v>249</v>
      </c>
      <c r="BH249" s="24">
        <f>F249*AO249</f>
        <v>0</v>
      </c>
      <c r="BI249" s="24">
        <f>F249*AP249</f>
        <v>0</v>
      </c>
      <c r="BJ249" s="24">
        <f>F249*G249</f>
        <v>0</v>
      </c>
      <c r="BK249" s="24"/>
      <c r="BL249" s="24">
        <v>87</v>
      </c>
      <c r="BW249" s="24">
        <v>21</v>
      </c>
      <c r="BX249" s="4" t="s">
        <v>486</v>
      </c>
    </row>
    <row r="250" spans="1:76">
      <c r="A250" s="27"/>
      <c r="C250" s="28" t="s">
        <v>487</v>
      </c>
      <c r="D250" s="28" t="s">
        <v>51</v>
      </c>
      <c r="F250" s="29">
        <v>137.9</v>
      </c>
      <c r="K250" s="30"/>
    </row>
    <row r="251" spans="1:76">
      <c r="A251" s="2" t="s">
        <v>488</v>
      </c>
      <c r="B251" s="3" t="s">
        <v>489</v>
      </c>
      <c r="C251" s="72" t="s">
        <v>490</v>
      </c>
      <c r="D251" s="67"/>
      <c r="E251" s="3" t="s">
        <v>70</v>
      </c>
      <c r="F251" s="24">
        <v>144.79499999999999</v>
      </c>
      <c r="G251" s="24">
        <v>0</v>
      </c>
      <c r="H251" s="24">
        <f>F251*AO251</f>
        <v>0</v>
      </c>
      <c r="I251" s="24">
        <f>F251*AP251</f>
        <v>0</v>
      </c>
      <c r="J251" s="24">
        <f>F251*G251</f>
        <v>0</v>
      </c>
      <c r="K251" s="25" t="s">
        <v>71</v>
      </c>
      <c r="Z251" s="24">
        <f>IF(AQ251="5",BJ251,0)</f>
        <v>0</v>
      </c>
      <c r="AB251" s="24">
        <f>IF(AQ251="1",BH251,0)</f>
        <v>0</v>
      </c>
      <c r="AC251" s="24">
        <f>IF(AQ251="1",BI251,0)</f>
        <v>0</v>
      </c>
      <c r="AD251" s="24">
        <f>IF(AQ251="7",BH251,0)</f>
        <v>0</v>
      </c>
      <c r="AE251" s="24">
        <f>IF(AQ251="7",BI251,0)</f>
        <v>0</v>
      </c>
      <c r="AF251" s="24">
        <f>IF(AQ251="2",BH251,0)</f>
        <v>0</v>
      </c>
      <c r="AG251" s="24">
        <f>IF(AQ251="2",BI251,0)</f>
        <v>0</v>
      </c>
      <c r="AH251" s="24">
        <f>IF(AQ251="0",BJ251,0)</f>
        <v>0</v>
      </c>
      <c r="AI251" s="10" t="s">
        <v>51</v>
      </c>
      <c r="AJ251" s="24">
        <f>IF(AN251=0,J251,0)</f>
        <v>0</v>
      </c>
      <c r="AK251" s="24">
        <f>IF(AN251=12,J251,0)</f>
        <v>0</v>
      </c>
      <c r="AL251" s="24">
        <f>IF(AN251=21,J251,0)</f>
        <v>0</v>
      </c>
      <c r="AN251" s="24">
        <v>21</v>
      </c>
      <c r="AO251" s="24">
        <f>G251*1</f>
        <v>0</v>
      </c>
      <c r="AP251" s="24">
        <f>G251*(1-1)</f>
        <v>0</v>
      </c>
      <c r="AQ251" s="26" t="s">
        <v>54</v>
      </c>
      <c r="AV251" s="24">
        <f>AW251+AX251</f>
        <v>0</v>
      </c>
      <c r="AW251" s="24">
        <f>F251*AO251</f>
        <v>0</v>
      </c>
      <c r="AX251" s="24">
        <f>F251*AP251</f>
        <v>0</v>
      </c>
      <c r="AY251" s="26" t="s">
        <v>480</v>
      </c>
      <c r="AZ251" s="26" t="s">
        <v>406</v>
      </c>
      <c r="BA251" s="10" t="s">
        <v>59</v>
      </c>
      <c r="BC251" s="24">
        <f>AW251+AX251</f>
        <v>0</v>
      </c>
      <c r="BD251" s="24">
        <f>G251/(100-BE251)*100</f>
        <v>0</v>
      </c>
      <c r="BE251" s="24">
        <v>0</v>
      </c>
      <c r="BF251" s="24">
        <f>251</f>
        <v>251</v>
      </c>
      <c r="BH251" s="24">
        <f>F251*AO251</f>
        <v>0</v>
      </c>
      <c r="BI251" s="24">
        <f>F251*AP251</f>
        <v>0</v>
      </c>
      <c r="BJ251" s="24">
        <f>F251*G251</f>
        <v>0</v>
      </c>
      <c r="BK251" s="24"/>
      <c r="BL251" s="24">
        <v>87</v>
      </c>
      <c r="BW251" s="24">
        <v>21</v>
      </c>
      <c r="BX251" s="4" t="s">
        <v>490</v>
      </c>
    </row>
    <row r="252" spans="1:76">
      <c r="A252" s="27"/>
      <c r="C252" s="28" t="s">
        <v>484</v>
      </c>
      <c r="D252" s="28" t="s">
        <v>51</v>
      </c>
      <c r="F252" s="29">
        <v>144.79499999999999</v>
      </c>
      <c r="K252" s="30"/>
    </row>
    <row r="253" spans="1:76">
      <c r="A253" s="2" t="s">
        <v>491</v>
      </c>
      <c r="B253" s="3" t="s">
        <v>492</v>
      </c>
      <c r="C253" s="72" t="s">
        <v>493</v>
      </c>
      <c r="D253" s="67"/>
      <c r="E253" s="3" t="s">
        <v>70</v>
      </c>
      <c r="F253" s="24">
        <v>144.79499999999999</v>
      </c>
      <c r="G253" s="24">
        <v>0</v>
      </c>
      <c r="H253" s="24">
        <f>F253*AO253</f>
        <v>0</v>
      </c>
      <c r="I253" s="24">
        <f>F253*AP253</f>
        <v>0</v>
      </c>
      <c r="J253" s="24">
        <f>F253*G253</f>
        <v>0</v>
      </c>
      <c r="K253" s="25" t="s">
        <v>51</v>
      </c>
      <c r="Z253" s="24">
        <f>IF(AQ253="5",BJ253,0)</f>
        <v>0</v>
      </c>
      <c r="AB253" s="24">
        <f>IF(AQ253="1",BH253,0)</f>
        <v>0</v>
      </c>
      <c r="AC253" s="24">
        <f>IF(AQ253="1",BI253,0)</f>
        <v>0</v>
      </c>
      <c r="AD253" s="24">
        <f>IF(AQ253="7",BH253,0)</f>
        <v>0</v>
      </c>
      <c r="AE253" s="24">
        <f>IF(AQ253="7",BI253,0)</f>
        <v>0</v>
      </c>
      <c r="AF253" s="24">
        <f>IF(AQ253="2",BH253,0)</f>
        <v>0</v>
      </c>
      <c r="AG253" s="24">
        <f>IF(AQ253="2",BI253,0)</f>
        <v>0</v>
      </c>
      <c r="AH253" s="24">
        <f>IF(AQ253="0",BJ253,0)</f>
        <v>0</v>
      </c>
      <c r="AI253" s="10" t="s">
        <v>51</v>
      </c>
      <c r="AJ253" s="24">
        <f>IF(AN253=0,J253,0)</f>
        <v>0</v>
      </c>
      <c r="AK253" s="24">
        <f>IF(AN253=12,J253,0)</f>
        <v>0</v>
      </c>
      <c r="AL253" s="24">
        <f>IF(AN253=21,J253,0)</f>
        <v>0</v>
      </c>
      <c r="AN253" s="24">
        <v>21</v>
      </c>
      <c r="AO253" s="24">
        <f>G253*1</f>
        <v>0</v>
      </c>
      <c r="AP253" s="24">
        <f>G253*(1-1)</f>
        <v>0</v>
      </c>
      <c r="AQ253" s="26" t="s">
        <v>54</v>
      </c>
      <c r="AV253" s="24">
        <f>AW253+AX253</f>
        <v>0</v>
      </c>
      <c r="AW253" s="24">
        <f>F253*AO253</f>
        <v>0</v>
      </c>
      <c r="AX253" s="24">
        <f>F253*AP253</f>
        <v>0</v>
      </c>
      <c r="AY253" s="26" t="s">
        <v>480</v>
      </c>
      <c r="AZ253" s="26" t="s">
        <v>406</v>
      </c>
      <c r="BA253" s="10" t="s">
        <v>59</v>
      </c>
      <c r="BC253" s="24">
        <f>AW253+AX253</f>
        <v>0</v>
      </c>
      <c r="BD253" s="24">
        <f>G253/(100-BE253)*100</f>
        <v>0</v>
      </c>
      <c r="BE253" s="24">
        <v>0</v>
      </c>
      <c r="BF253" s="24">
        <f>253</f>
        <v>253</v>
      </c>
      <c r="BH253" s="24">
        <f>F253*AO253</f>
        <v>0</v>
      </c>
      <c r="BI253" s="24">
        <f>F253*AP253</f>
        <v>0</v>
      </c>
      <c r="BJ253" s="24">
        <f>F253*G253</f>
        <v>0</v>
      </c>
      <c r="BK253" s="24"/>
      <c r="BL253" s="24">
        <v>87</v>
      </c>
      <c r="BW253" s="24">
        <v>21</v>
      </c>
      <c r="BX253" s="4" t="s">
        <v>493</v>
      </c>
    </row>
    <row r="254" spans="1:76">
      <c r="A254" s="27"/>
      <c r="C254" s="28" t="s">
        <v>494</v>
      </c>
      <c r="D254" s="28" t="s">
        <v>51</v>
      </c>
      <c r="F254" s="29">
        <v>144.79499999999999</v>
      </c>
      <c r="K254" s="30"/>
    </row>
    <row r="255" spans="1:76">
      <c r="A255" s="2" t="s">
        <v>495</v>
      </c>
      <c r="B255" s="3" t="s">
        <v>496</v>
      </c>
      <c r="C255" s="72" t="s">
        <v>497</v>
      </c>
      <c r="D255" s="67"/>
      <c r="E255" s="3" t="s">
        <v>70</v>
      </c>
      <c r="F255" s="24">
        <v>289.58999999999997</v>
      </c>
      <c r="G255" s="24">
        <v>0</v>
      </c>
      <c r="H255" s="24">
        <f>F255*AO255</f>
        <v>0</v>
      </c>
      <c r="I255" s="24">
        <f>F255*AP255</f>
        <v>0</v>
      </c>
      <c r="J255" s="24">
        <f>F255*G255</f>
        <v>0</v>
      </c>
      <c r="K255" s="25" t="s">
        <v>71</v>
      </c>
      <c r="Z255" s="24">
        <f>IF(AQ255="5",BJ255,0)</f>
        <v>0</v>
      </c>
      <c r="AB255" s="24">
        <f>IF(AQ255="1",BH255,0)</f>
        <v>0</v>
      </c>
      <c r="AC255" s="24">
        <f>IF(AQ255="1",BI255,0)</f>
        <v>0</v>
      </c>
      <c r="AD255" s="24">
        <f>IF(AQ255="7",BH255,0)</f>
        <v>0</v>
      </c>
      <c r="AE255" s="24">
        <f>IF(AQ255="7",BI255,0)</f>
        <v>0</v>
      </c>
      <c r="AF255" s="24">
        <f>IF(AQ255="2",BH255,0)</f>
        <v>0</v>
      </c>
      <c r="AG255" s="24">
        <f>IF(AQ255="2",BI255,0)</f>
        <v>0</v>
      </c>
      <c r="AH255" s="24">
        <f>IF(AQ255="0",BJ255,0)</f>
        <v>0</v>
      </c>
      <c r="AI255" s="10" t="s">
        <v>51</v>
      </c>
      <c r="AJ255" s="24">
        <f>IF(AN255=0,J255,0)</f>
        <v>0</v>
      </c>
      <c r="AK255" s="24">
        <f>IF(AN255=12,J255,0)</f>
        <v>0</v>
      </c>
      <c r="AL255" s="24">
        <f>IF(AN255=21,J255,0)</f>
        <v>0</v>
      </c>
      <c r="AN255" s="24">
        <v>21</v>
      </c>
      <c r="AO255" s="24">
        <f>G255*0.352747119</f>
        <v>0</v>
      </c>
      <c r="AP255" s="24">
        <f>G255*(1-0.352747119)</f>
        <v>0</v>
      </c>
      <c r="AQ255" s="26" t="s">
        <v>54</v>
      </c>
      <c r="AV255" s="24">
        <f>AW255+AX255</f>
        <v>0</v>
      </c>
      <c r="AW255" s="24">
        <f>F255*AO255</f>
        <v>0</v>
      </c>
      <c r="AX255" s="24">
        <f>F255*AP255</f>
        <v>0</v>
      </c>
      <c r="AY255" s="26" t="s">
        <v>480</v>
      </c>
      <c r="AZ255" s="26" t="s">
        <v>406</v>
      </c>
      <c r="BA255" s="10" t="s">
        <v>59</v>
      </c>
      <c r="BC255" s="24">
        <f>AW255+AX255</f>
        <v>0</v>
      </c>
      <c r="BD255" s="24">
        <f>G255/(100-BE255)*100</f>
        <v>0</v>
      </c>
      <c r="BE255" s="24">
        <v>0</v>
      </c>
      <c r="BF255" s="24">
        <f>255</f>
        <v>255</v>
      </c>
      <c r="BH255" s="24">
        <f>F255*AO255</f>
        <v>0</v>
      </c>
      <c r="BI255" s="24">
        <f>F255*AP255</f>
        <v>0</v>
      </c>
      <c r="BJ255" s="24">
        <f>F255*G255</f>
        <v>0</v>
      </c>
      <c r="BK255" s="24"/>
      <c r="BL255" s="24">
        <v>87</v>
      </c>
      <c r="BW255" s="24">
        <v>21</v>
      </c>
      <c r="BX255" s="4" t="s">
        <v>497</v>
      </c>
    </row>
    <row r="256" spans="1:76">
      <c r="A256" s="27"/>
      <c r="C256" s="28" t="s">
        <v>498</v>
      </c>
      <c r="D256" s="28" t="s">
        <v>51</v>
      </c>
      <c r="F256" s="29">
        <v>275.8</v>
      </c>
      <c r="K256" s="30"/>
    </row>
    <row r="257" spans="1:76">
      <c r="A257" s="27"/>
      <c r="C257" s="28" t="s">
        <v>499</v>
      </c>
      <c r="D257" s="28" t="s">
        <v>51</v>
      </c>
      <c r="F257" s="29">
        <v>13.79</v>
      </c>
      <c r="K257" s="30"/>
    </row>
    <row r="258" spans="1:76">
      <c r="A258" s="2" t="s">
        <v>500</v>
      </c>
      <c r="B258" s="3" t="s">
        <v>501</v>
      </c>
      <c r="C258" s="72" t="s">
        <v>502</v>
      </c>
      <c r="D258" s="67"/>
      <c r="E258" s="3" t="s">
        <v>70</v>
      </c>
      <c r="F258" s="24">
        <v>139.69999999999999</v>
      </c>
      <c r="G258" s="24">
        <v>0</v>
      </c>
      <c r="H258" s="24">
        <f>F258*AO258</f>
        <v>0</v>
      </c>
      <c r="I258" s="24">
        <f>F258*AP258</f>
        <v>0</v>
      </c>
      <c r="J258" s="24">
        <f>F258*G258</f>
        <v>0</v>
      </c>
      <c r="K258" s="25" t="s">
        <v>71</v>
      </c>
      <c r="Z258" s="24">
        <f>IF(AQ258="5",BJ258,0)</f>
        <v>0</v>
      </c>
      <c r="AB258" s="24">
        <f>IF(AQ258="1",BH258,0)</f>
        <v>0</v>
      </c>
      <c r="AC258" s="24">
        <f>IF(AQ258="1",BI258,0)</f>
        <v>0</v>
      </c>
      <c r="AD258" s="24">
        <f>IF(AQ258="7",BH258,0)</f>
        <v>0</v>
      </c>
      <c r="AE258" s="24">
        <f>IF(AQ258="7",BI258,0)</f>
        <v>0</v>
      </c>
      <c r="AF258" s="24">
        <f>IF(AQ258="2",BH258,0)</f>
        <v>0</v>
      </c>
      <c r="AG258" s="24">
        <f>IF(AQ258="2",BI258,0)</f>
        <v>0</v>
      </c>
      <c r="AH258" s="24">
        <f>IF(AQ258="0",BJ258,0)</f>
        <v>0</v>
      </c>
      <c r="AI258" s="10" t="s">
        <v>51</v>
      </c>
      <c r="AJ258" s="24">
        <f>IF(AN258=0,J258,0)</f>
        <v>0</v>
      </c>
      <c r="AK258" s="24">
        <f>IF(AN258=12,J258,0)</f>
        <v>0</v>
      </c>
      <c r="AL258" s="24">
        <f>IF(AN258=21,J258,0)</f>
        <v>0</v>
      </c>
      <c r="AN258" s="24">
        <v>21</v>
      </c>
      <c r="AO258" s="24">
        <f>G258*0</f>
        <v>0</v>
      </c>
      <c r="AP258" s="24">
        <f>G258*(1-0)</f>
        <v>0</v>
      </c>
      <c r="AQ258" s="26" t="s">
        <v>54</v>
      </c>
      <c r="AV258" s="24">
        <f>AW258+AX258</f>
        <v>0</v>
      </c>
      <c r="AW258" s="24">
        <f>F258*AO258</f>
        <v>0</v>
      </c>
      <c r="AX258" s="24">
        <f>F258*AP258</f>
        <v>0</v>
      </c>
      <c r="AY258" s="26" t="s">
        <v>480</v>
      </c>
      <c r="AZ258" s="26" t="s">
        <v>406</v>
      </c>
      <c r="BA258" s="10" t="s">
        <v>59</v>
      </c>
      <c r="BC258" s="24">
        <f>AW258+AX258</f>
        <v>0</v>
      </c>
      <c r="BD258" s="24">
        <f>G258/(100-BE258)*100</f>
        <v>0</v>
      </c>
      <c r="BE258" s="24">
        <v>0</v>
      </c>
      <c r="BF258" s="24">
        <f>258</f>
        <v>258</v>
      </c>
      <c r="BH258" s="24">
        <f>F258*AO258</f>
        <v>0</v>
      </c>
      <c r="BI258" s="24">
        <f>F258*AP258</f>
        <v>0</v>
      </c>
      <c r="BJ258" s="24">
        <f>F258*G258</f>
        <v>0</v>
      </c>
      <c r="BK258" s="24"/>
      <c r="BL258" s="24">
        <v>87</v>
      </c>
      <c r="BW258" s="24">
        <v>21</v>
      </c>
      <c r="BX258" s="4" t="s">
        <v>502</v>
      </c>
    </row>
    <row r="259" spans="1:76">
      <c r="A259" s="27"/>
      <c r="C259" s="28" t="s">
        <v>503</v>
      </c>
      <c r="D259" s="28" t="s">
        <v>51</v>
      </c>
      <c r="F259" s="29">
        <v>139.69999999999999</v>
      </c>
      <c r="K259" s="30"/>
    </row>
    <row r="260" spans="1:76">
      <c r="A260" s="2" t="s">
        <v>504</v>
      </c>
      <c r="B260" s="3" t="s">
        <v>505</v>
      </c>
      <c r="C260" s="72" t="s">
        <v>506</v>
      </c>
      <c r="D260" s="67"/>
      <c r="E260" s="3" t="s">
        <v>57</v>
      </c>
      <c r="F260" s="24">
        <v>1</v>
      </c>
      <c r="G260" s="24">
        <v>0</v>
      </c>
      <c r="H260" s="24">
        <f>F260*AO260</f>
        <v>0</v>
      </c>
      <c r="I260" s="24">
        <f>F260*AP260</f>
        <v>0</v>
      </c>
      <c r="J260" s="24">
        <f>F260*G260</f>
        <v>0</v>
      </c>
      <c r="K260" s="25" t="s">
        <v>51</v>
      </c>
      <c r="Z260" s="24">
        <f>IF(AQ260="5",BJ260,0)</f>
        <v>0</v>
      </c>
      <c r="AB260" s="24">
        <f>IF(AQ260="1",BH260,0)</f>
        <v>0</v>
      </c>
      <c r="AC260" s="24">
        <f>IF(AQ260="1",BI260,0)</f>
        <v>0</v>
      </c>
      <c r="AD260" s="24">
        <f>IF(AQ260="7",BH260,0)</f>
        <v>0</v>
      </c>
      <c r="AE260" s="24">
        <f>IF(AQ260="7",BI260,0)</f>
        <v>0</v>
      </c>
      <c r="AF260" s="24">
        <f>IF(AQ260="2",BH260,0)</f>
        <v>0</v>
      </c>
      <c r="AG260" s="24">
        <f>IF(AQ260="2",BI260,0)</f>
        <v>0</v>
      </c>
      <c r="AH260" s="24">
        <f>IF(AQ260="0",BJ260,0)</f>
        <v>0</v>
      </c>
      <c r="AI260" s="10" t="s">
        <v>51</v>
      </c>
      <c r="AJ260" s="24">
        <f>IF(AN260=0,J260,0)</f>
        <v>0</v>
      </c>
      <c r="AK260" s="24">
        <f>IF(AN260=12,J260,0)</f>
        <v>0</v>
      </c>
      <c r="AL260" s="24">
        <f>IF(AN260=21,J260,0)</f>
        <v>0</v>
      </c>
      <c r="AN260" s="24">
        <v>21</v>
      </c>
      <c r="AO260" s="24">
        <f>G260*0.2</f>
        <v>0</v>
      </c>
      <c r="AP260" s="24">
        <f>G260*(1-0.2)</f>
        <v>0</v>
      </c>
      <c r="AQ260" s="26" t="s">
        <v>54</v>
      </c>
      <c r="AV260" s="24">
        <f>AW260+AX260</f>
        <v>0</v>
      </c>
      <c r="AW260" s="24">
        <f>F260*AO260</f>
        <v>0</v>
      </c>
      <c r="AX260" s="24">
        <f>F260*AP260</f>
        <v>0</v>
      </c>
      <c r="AY260" s="26" t="s">
        <v>480</v>
      </c>
      <c r="AZ260" s="26" t="s">
        <v>406</v>
      </c>
      <c r="BA260" s="10" t="s">
        <v>59</v>
      </c>
      <c r="BC260" s="24">
        <f>AW260+AX260</f>
        <v>0</v>
      </c>
      <c r="BD260" s="24">
        <f>G260/(100-BE260)*100</f>
        <v>0</v>
      </c>
      <c r="BE260" s="24">
        <v>0</v>
      </c>
      <c r="BF260" s="24">
        <f>260</f>
        <v>260</v>
      </c>
      <c r="BH260" s="24">
        <f>F260*AO260</f>
        <v>0</v>
      </c>
      <c r="BI260" s="24">
        <f>F260*AP260</f>
        <v>0</v>
      </c>
      <c r="BJ260" s="24">
        <f>F260*G260</f>
        <v>0</v>
      </c>
      <c r="BK260" s="24"/>
      <c r="BL260" s="24">
        <v>87</v>
      </c>
      <c r="BW260" s="24">
        <v>21</v>
      </c>
      <c r="BX260" s="4" t="s">
        <v>506</v>
      </c>
    </row>
    <row r="261" spans="1:76">
      <c r="A261" s="27"/>
      <c r="C261" s="28" t="s">
        <v>507</v>
      </c>
      <c r="D261" s="28" t="s">
        <v>51</v>
      </c>
      <c r="F261" s="29">
        <v>1</v>
      </c>
      <c r="K261" s="30"/>
    </row>
    <row r="262" spans="1:76">
      <c r="A262" s="31" t="s">
        <v>51</v>
      </c>
      <c r="B262" s="32" t="s">
        <v>488</v>
      </c>
      <c r="C262" s="88" t="s">
        <v>508</v>
      </c>
      <c r="D262" s="89"/>
      <c r="E262" s="33" t="s">
        <v>4</v>
      </c>
      <c r="F262" s="33" t="s">
        <v>4</v>
      </c>
      <c r="G262" s="33" t="s">
        <v>4</v>
      </c>
      <c r="H262" s="1">
        <f>SUM(H263:H265)</f>
        <v>0</v>
      </c>
      <c r="I262" s="1">
        <f>SUM(I263:I265)</f>
        <v>0</v>
      </c>
      <c r="J262" s="1">
        <f>SUM(J263:J265)</f>
        <v>0</v>
      </c>
      <c r="K262" s="34" t="s">
        <v>51</v>
      </c>
      <c r="AI262" s="10" t="s">
        <v>51</v>
      </c>
      <c r="AS262" s="1">
        <f>SUM(AJ263:AJ265)</f>
        <v>0</v>
      </c>
      <c r="AT262" s="1">
        <f>SUM(AK263:AK265)</f>
        <v>0</v>
      </c>
      <c r="AU262" s="1">
        <f>SUM(AL263:AL265)</f>
        <v>0</v>
      </c>
    </row>
    <row r="263" spans="1:76">
      <c r="A263" s="2" t="s">
        <v>509</v>
      </c>
      <c r="B263" s="3" t="s">
        <v>510</v>
      </c>
      <c r="C263" s="72" t="s">
        <v>511</v>
      </c>
      <c r="D263" s="67"/>
      <c r="E263" s="3" t="s">
        <v>70</v>
      </c>
      <c r="F263" s="24">
        <v>137.9</v>
      </c>
      <c r="G263" s="24">
        <v>0</v>
      </c>
      <c r="H263" s="24">
        <f>F263*AO263</f>
        <v>0</v>
      </c>
      <c r="I263" s="24">
        <f>F263*AP263</f>
        <v>0</v>
      </c>
      <c r="J263" s="24">
        <f>F263*G263</f>
        <v>0</v>
      </c>
      <c r="K263" s="25" t="s">
        <v>71</v>
      </c>
      <c r="Z263" s="24">
        <f>IF(AQ263="5",BJ263,0)</f>
        <v>0</v>
      </c>
      <c r="AB263" s="24">
        <f>IF(AQ263="1",BH263,0)</f>
        <v>0</v>
      </c>
      <c r="AC263" s="24">
        <f>IF(AQ263="1",BI263,0)</f>
        <v>0</v>
      </c>
      <c r="AD263" s="24">
        <f>IF(AQ263="7",BH263,0)</f>
        <v>0</v>
      </c>
      <c r="AE263" s="24">
        <f>IF(AQ263="7",BI263,0)</f>
        <v>0</v>
      </c>
      <c r="AF263" s="24">
        <f>IF(AQ263="2",BH263,0)</f>
        <v>0</v>
      </c>
      <c r="AG263" s="24">
        <f>IF(AQ263="2",BI263,0)</f>
        <v>0</v>
      </c>
      <c r="AH263" s="24">
        <f>IF(AQ263="0",BJ263,0)</f>
        <v>0</v>
      </c>
      <c r="AI263" s="10" t="s">
        <v>51</v>
      </c>
      <c r="AJ263" s="24">
        <f>IF(AN263=0,J263,0)</f>
        <v>0</v>
      </c>
      <c r="AK263" s="24">
        <f>IF(AN263=12,J263,0)</f>
        <v>0</v>
      </c>
      <c r="AL263" s="24">
        <f>IF(AN263=21,J263,0)</f>
        <v>0</v>
      </c>
      <c r="AN263" s="24">
        <v>21</v>
      </c>
      <c r="AO263" s="24">
        <f>G263*0</f>
        <v>0</v>
      </c>
      <c r="AP263" s="24">
        <f>G263*(1-0)</f>
        <v>0</v>
      </c>
      <c r="AQ263" s="26" t="s">
        <v>54</v>
      </c>
      <c r="AV263" s="24">
        <f>AW263+AX263</f>
        <v>0</v>
      </c>
      <c r="AW263" s="24">
        <f>F263*AO263</f>
        <v>0</v>
      </c>
      <c r="AX263" s="24">
        <f>F263*AP263</f>
        <v>0</v>
      </c>
      <c r="AY263" s="26" t="s">
        <v>512</v>
      </c>
      <c r="AZ263" s="26" t="s">
        <v>406</v>
      </c>
      <c r="BA263" s="10" t="s">
        <v>59</v>
      </c>
      <c r="BC263" s="24">
        <f>AW263+AX263</f>
        <v>0</v>
      </c>
      <c r="BD263" s="24">
        <f>G263/(100-BE263)*100</f>
        <v>0</v>
      </c>
      <c r="BE263" s="24">
        <v>0</v>
      </c>
      <c r="BF263" s="24">
        <f>263</f>
        <v>263</v>
      </c>
      <c r="BH263" s="24">
        <f>F263*AO263</f>
        <v>0</v>
      </c>
      <c r="BI263" s="24">
        <f>F263*AP263</f>
        <v>0</v>
      </c>
      <c r="BJ263" s="24">
        <f>F263*G263</f>
        <v>0</v>
      </c>
      <c r="BK263" s="24"/>
      <c r="BL263" s="24">
        <v>88</v>
      </c>
      <c r="BW263" s="24">
        <v>21</v>
      </c>
      <c r="BX263" s="4" t="s">
        <v>511</v>
      </c>
    </row>
    <row r="264" spans="1:76">
      <c r="A264" s="27"/>
      <c r="C264" s="28" t="s">
        <v>111</v>
      </c>
      <c r="D264" s="28" t="s">
        <v>51</v>
      </c>
      <c r="F264" s="29">
        <v>137.9</v>
      </c>
      <c r="K264" s="30"/>
    </row>
    <row r="265" spans="1:76">
      <c r="A265" s="2" t="s">
        <v>513</v>
      </c>
      <c r="B265" s="3" t="s">
        <v>514</v>
      </c>
      <c r="C265" s="72" t="s">
        <v>515</v>
      </c>
      <c r="D265" s="67"/>
      <c r="E265" s="3" t="s">
        <v>70</v>
      </c>
      <c r="F265" s="24">
        <v>144.79499999999999</v>
      </c>
      <c r="G265" s="24">
        <v>0</v>
      </c>
      <c r="H265" s="24">
        <f>F265*AO265</f>
        <v>0</v>
      </c>
      <c r="I265" s="24">
        <f>F265*AP265</f>
        <v>0</v>
      </c>
      <c r="J265" s="24">
        <f>F265*G265</f>
        <v>0</v>
      </c>
      <c r="K265" s="25" t="s">
        <v>71</v>
      </c>
      <c r="Z265" s="24">
        <f>IF(AQ265="5",BJ265,0)</f>
        <v>0</v>
      </c>
      <c r="AB265" s="24">
        <f>IF(AQ265="1",BH265,0)</f>
        <v>0</v>
      </c>
      <c r="AC265" s="24">
        <f>IF(AQ265="1",BI265,0)</f>
        <v>0</v>
      </c>
      <c r="AD265" s="24">
        <f>IF(AQ265="7",BH265,0)</f>
        <v>0</v>
      </c>
      <c r="AE265" s="24">
        <f>IF(AQ265="7",BI265,0)</f>
        <v>0</v>
      </c>
      <c r="AF265" s="24">
        <f>IF(AQ265="2",BH265,0)</f>
        <v>0</v>
      </c>
      <c r="AG265" s="24">
        <f>IF(AQ265="2",BI265,0)</f>
        <v>0</v>
      </c>
      <c r="AH265" s="24">
        <f>IF(AQ265="0",BJ265,0)</f>
        <v>0</v>
      </c>
      <c r="AI265" s="10" t="s">
        <v>51</v>
      </c>
      <c r="AJ265" s="24">
        <f>IF(AN265=0,J265,0)</f>
        <v>0</v>
      </c>
      <c r="AK265" s="24">
        <f>IF(AN265=12,J265,0)</f>
        <v>0</v>
      </c>
      <c r="AL265" s="24">
        <f>IF(AN265=21,J265,0)</f>
        <v>0</v>
      </c>
      <c r="AN265" s="24">
        <v>21</v>
      </c>
      <c r="AO265" s="24">
        <f>G265*1</f>
        <v>0</v>
      </c>
      <c r="AP265" s="24">
        <f>G265*(1-1)</f>
        <v>0</v>
      </c>
      <c r="AQ265" s="26" t="s">
        <v>54</v>
      </c>
      <c r="AV265" s="24">
        <f>AW265+AX265</f>
        <v>0</v>
      </c>
      <c r="AW265" s="24">
        <f>F265*AO265</f>
        <v>0</v>
      </c>
      <c r="AX265" s="24">
        <f>F265*AP265</f>
        <v>0</v>
      </c>
      <c r="AY265" s="26" t="s">
        <v>512</v>
      </c>
      <c r="AZ265" s="26" t="s">
        <v>406</v>
      </c>
      <c r="BA265" s="10" t="s">
        <v>59</v>
      </c>
      <c r="BC265" s="24">
        <f>AW265+AX265</f>
        <v>0</v>
      </c>
      <c r="BD265" s="24">
        <f>G265/(100-BE265)*100</f>
        <v>0</v>
      </c>
      <c r="BE265" s="24">
        <v>0</v>
      </c>
      <c r="BF265" s="24">
        <f>265</f>
        <v>265</v>
      </c>
      <c r="BH265" s="24">
        <f>F265*AO265</f>
        <v>0</v>
      </c>
      <c r="BI265" s="24">
        <f>F265*AP265</f>
        <v>0</v>
      </c>
      <c r="BJ265" s="24">
        <f>F265*G265</f>
        <v>0</v>
      </c>
      <c r="BK265" s="24"/>
      <c r="BL265" s="24">
        <v>88</v>
      </c>
      <c r="BW265" s="24">
        <v>21</v>
      </c>
      <c r="BX265" s="4" t="s">
        <v>515</v>
      </c>
    </row>
    <row r="266" spans="1:76">
      <c r="A266" s="27"/>
      <c r="C266" s="28" t="s">
        <v>484</v>
      </c>
      <c r="D266" s="28" t="s">
        <v>51</v>
      </c>
      <c r="F266" s="29">
        <v>144.79499999999999</v>
      </c>
      <c r="K266" s="30"/>
    </row>
    <row r="267" spans="1:76">
      <c r="A267" s="31" t="s">
        <v>51</v>
      </c>
      <c r="B267" s="32" t="s">
        <v>491</v>
      </c>
      <c r="C267" s="88" t="s">
        <v>516</v>
      </c>
      <c r="D267" s="89"/>
      <c r="E267" s="33" t="s">
        <v>4</v>
      </c>
      <c r="F267" s="33" t="s">
        <v>4</v>
      </c>
      <c r="G267" s="33" t="s">
        <v>4</v>
      </c>
      <c r="H267" s="1">
        <f>SUM(H268:H272)</f>
        <v>0</v>
      </c>
      <c r="I267" s="1">
        <f>SUM(I268:I272)</f>
        <v>0</v>
      </c>
      <c r="J267" s="1">
        <f>SUM(J268:J272)</f>
        <v>0</v>
      </c>
      <c r="K267" s="34" t="s">
        <v>51</v>
      </c>
      <c r="AI267" s="10" t="s">
        <v>51</v>
      </c>
      <c r="AS267" s="1">
        <f>SUM(AJ268:AJ272)</f>
        <v>0</v>
      </c>
      <c r="AT267" s="1">
        <f>SUM(AK268:AK272)</f>
        <v>0</v>
      </c>
      <c r="AU267" s="1">
        <f>SUM(AL268:AL272)</f>
        <v>0</v>
      </c>
    </row>
    <row r="268" spans="1:76">
      <c r="A268" s="2" t="s">
        <v>517</v>
      </c>
      <c r="B268" s="3" t="s">
        <v>518</v>
      </c>
      <c r="C268" s="72" t="s">
        <v>519</v>
      </c>
      <c r="D268" s="67"/>
      <c r="E268" s="3" t="s">
        <v>122</v>
      </c>
      <c r="F268" s="24">
        <v>1</v>
      </c>
      <c r="G268" s="24">
        <v>0</v>
      </c>
      <c r="H268" s="24">
        <f>F268*AO268</f>
        <v>0</v>
      </c>
      <c r="I268" s="24">
        <f>F268*AP268</f>
        <v>0</v>
      </c>
      <c r="J268" s="24">
        <f>F268*G268</f>
        <v>0</v>
      </c>
      <c r="K268" s="25" t="s">
        <v>71</v>
      </c>
      <c r="Z268" s="24">
        <f>IF(AQ268="5",BJ268,0)</f>
        <v>0</v>
      </c>
      <c r="AB268" s="24">
        <f>IF(AQ268="1",BH268,0)</f>
        <v>0</v>
      </c>
      <c r="AC268" s="24">
        <f>IF(AQ268="1",BI268,0)</f>
        <v>0</v>
      </c>
      <c r="AD268" s="24">
        <f>IF(AQ268="7",BH268,0)</f>
        <v>0</v>
      </c>
      <c r="AE268" s="24">
        <f>IF(AQ268="7",BI268,0)</f>
        <v>0</v>
      </c>
      <c r="AF268" s="24">
        <f>IF(AQ268="2",BH268,0)</f>
        <v>0</v>
      </c>
      <c r="AG268" s="24">
        <f>IF(AQ268="2",BI268,0)</f>
        <v>0</v>
      </c>
      <c r="AH268" s="24">
        <f>IF(AQ268="0",BJ268,0)</f>
        <v>0</v>
      </c>
      <c r="AI268" s="10" t="s">
        <v>51</v>
      </c>
      <c r="AJ268" s="24">
        <f>IF(AN268=0,J268,0)</f>
        <v>0</v>
      </c>
      <c r="AK268" s="24">
        <f>IF(AN268=12,J268,0)</f>
        <v>0</v>
      </c>
      <c r="AL268" s="24">
        <f>IF(AN268=21,J268,0)</f>
        <v>0</v>
      </c>
      <c r="AN268" s="24">
        <v>21</v>
      </c>
      <c r="AO268" s="24">
        <f>G268*0.689311562</f>
        <v>0</v>
      </c>
      <c r="AP268" s="24">
        <f>G268*(1-0.689311562)</f>
        <v>0</v>
      </c>
      <c r="AQ268" s="26" t="s">
        <v>54</v>
      </c>
      <c r="AV268" s="24">
        <f>AW268+AX268</f>
        <v>0</v>
      </c>
      <c r="AW268" s="24">
        <f>F268*AO268</f>
        <v>0</v>
      </c>
      <c r="AX268" s="24">
        <f>F268*AP268</f>
        <v>0</v>
      </c>
      <c r="AY268" s="26" t="s">
        <v>520</v>
      </c>
      <c r="AZ268" s="26" t="s">
        <v>406</v>
      </c>
      <c r="BA268" s="10" t="s">
        <v>59</v>
      </c>
      <c r="BC268" s="24">
        <f>AW268+AX268</f>
        <v>0</v>
      </c>
      <c r="BD268" s="24">
        <f>G268/(100-BE268)*100</f>
        <v>0</v>
      </c>
      <c r="BE268" s="24">
        <v>0</v>
      </c>
      <c r="BF268" s="24">
        <f>268</f>
        <v>268</v>
      </c>
      <c r="BH268" s="24">
        <f>F268*AO268</f>
        <v>0</v>
      </c>
      <c r="BI268" s="24">
        <f>F268*AP268</f>
        <v>0</v>
      </c>
      <c r="BJ268" s="24">
        <f>F268*G268</f>
        <v>0</v>
      </c>
      <c r="BK268" s="24"/>
      <c r="BL268" s="24">
        <v>89</v>
      </c>
      <c r="BW268" s="24">
        <v>21</v>
      </c>
      <c r="BX268" s="4" t="s">
        <v>519</v>
      </c>
    </row>
    <row r="269" spans="1:76">
      <c r="A269" s="27"/>
      <c r="C269" s="28" t="s">
        <v>521</v>
      </c>
      <c r="D269" s="28" t="s">
        <v>51</v>
      </c>
      <c r="F269" s="29">
        <v>1</v>
      </c>
      <c r="K269" s="30"/>
    </row>
    <row r="270" spans="1:76">
      <c r="A270" s="2" t="s">
        <v>522</v>
      </c>
      <c r="B270" s="3" t="s">
        <v>523</v>
      </c>
      <c r="C270" s="72" t="s">
        <v>524</v>
      </c>
      <c r="D270" s="67"/>
      <c r="E270" s="3" t="s">
        <v>122</v>
      </c>
      <c r="F270" s="24">
        <v>1</v>
      </c>
      <c r="G270" s="24">
        <v>0</v>
      </c>
      <c r="H270" s="24">
        <f>F270*AO270</f>
        <v>0</v>
      </c>
      <c r="I270" s="24">
        <f>F270*AP270</f>
        <v>0</v>
      </c>
      <c r="J270" s="24">
        <f>F270*G270</f>
        <v>0</v>
      </c>
      <c r="K270" s="25" t="s">
        <v>71</v>
      </c>
      <c r="Z270" s="24">
        <f>IF(AQ270="5",BJ270,0)</f>
        <v>0</v>
      </c>
      <c r="AB270" s="24">
        <f>IF(AQ270="1",BH270,0)</f>
        <v>0</v>
      </c>
      <c r="AC270" s="24">
        <f>IF(AQ270="1",BI270,0)</f>
        <v>0</v>
      </c>
      <c r="AD270" s="24">
        <f>IF(AQ270="7",BH270,0)</f>
        <v>0</v>
      </c>
      <c r="AE270" s="24">
        <f>IF(AQ270="7",BI270,0)</f>
        <v>0</v>
      </c>
      <c r="AF270" s="24">
        <f>IF(AQ270="2",BH270,0)</f>
        <v>0</v>
      </c>
      <c r="AG270" s="24">
        <f>IF(AQ270="2",BI270,0)</f>
        <v>0</v>
      </c>
      <c r="AH270" s="24">
        <f>IF(AQ270="0",BJ270,0)</f>
        <v>0</v>
      </c>
      <c r="AI270" s="10" t="s">
        <v>51</v>
      </c>
      <c r="AJ270" s="24">
        <f>IF(AN270=0,J270,0)</f>
        <v>0</v>
      </c>
      <c r="AK270" s="24">
        <f>IF(AN270=12,J270,0)</f>
        <v>0</v>
      </c>
      <c r="AL270" s="24">
        <f>IF(AN270=21,J270,0)</f>
        <v>0</v>
      </c>
      <c r="AN270" s="24">
        <v>21</v>
      </c>
      <c r="AO270" s="24">
        <f>G270*0.890897391</f>
        <v>0</v>
      </c>
      <c r="AP270" s="24">
        <f>G270*(1-0.890897391)</f>
        <v>0</v>
      </c>
      <c r="AQ270" s="26" t="s">
        <v>54</v>
      </c>
      <c r="AV270" s="24">
        <f>AW270+AX270</f>
        <v>0</v>
      </c>
      <c r="AW270" s="24">
        <f>F270*AO270</f>
        <v>0</v>
      </c>
      <c r="AX270" s="24">
        <f>F270*AP270</f>
        <v>0</v>
      </c>
      <c r="AY270" s="26" t="s">
        <v>520</v>
      </c>
      <c r="AZ270" s="26" t="s">
        <v>406</v>
      </c>
      <c r="BA270" s="10" t="s">
        <v>59</v>
      </c>
      <c r="BC270" s="24">
        <f>AW270+AX270</f>
        <v>0</v>
      </c>
      <c r="BD270" s="24">
        <f>G270/(100-BE270)*100</f>
        <v>0</v>
      </c>
      <c r="BE270" s="24">
        <v>0</v>
      </c>
      <c r="BF270" s="24">
        <f>270</f>
        <v>270</v>
      </c>
      <c r="BH270" s="24">
        <f>F270*AO270</f>
        <v>0</v>
      </c>
      <c r="BI270" s="24">
        <f>F270*AP270</f>
        <v>0</v>
      </c>
      <c r="BJ270" s="24">
        <f>F270*G270</f>
        <v>0</v>
      </c>
      <c r="BK270" s="24"/>
      <c r="BL270" s="24">
        <v>89</v>
      </c>
      <c r="BW270" s="24">
        <v>21</v>
      </c>
      <c r="BX270" s="4" t="s">
        <v>524</v>
      </c>
    </row>
    <row r="271" spans="1:76">
      <c r="A271" s="27"/>
      <c r="C271" s="28" t="s">
        <v>525</v>
      </c>
      <c r="D271" s="28" t="s">
        <v>51</v>
      </c>
      <c r="F271" s="29">
        <v>1</v>
      </c>
      <c r="K271" s="30"/>
    </row>
    <row r="272" spans="1:76">
      <c r="A272" s="2" t="s">
        <v>526</v>
      </c>
      <c r="B272" s="3" t="s">
        <v>527</v>
      </c>
      <c r="C272" s="72" t="s">
        <v>528</v>
      </c>
      <c r="D272" s="67"/>
      <c r="E272" s="3" t="s">
        <v>70</v>
      </c>
      <c r="F272" s="24">
        <v>137.9</v>
      </c>
      <c r="G272" s="24">
        <v>0</v>
      </c>
      <c r="H272" s="24">
        <f>F272*AO272</f>
        <v>0</v>
      </c>
      <c r="I272" s="24">
        <f>F272*AP272</f>
        <v>0</v>
      </c>
      <c r="J272" s="24">
        <f>F272*G272</f>
        <v>0</v>
      </c>
      <c r="K272" s="25" t="s">
        <v>71</v>
      </c>
      <c r="Z272" s="24">
        <f>IF(AQ272="5",BJ272,0)</f>
        <v>0</v>
      </c>
      <c r="AB272" s="24">
        <f>IF(AQ272="1",BH272,0)</f>
        <v>0</v>
      </c>
      <c r="AC272" s="24">
        <f>IF(AQ272="1",BI272,0)</f>
        <v>0</v>
      </c>
      <c r="AD272" s="24">
        <f>IF(AQ272="7",BH272,0)</f>
        <v>0</v>
      </c>
      <c r="AE272" s="24">
        <f>IF(AQ272="7",BI272,0)</f>
        <v>0</v>
      </c>
      <c r="AF272" s="24">
        <f>IF(AQ272="2",BH272,0)</f>
        <v>0</v>
      </c>
      <c r="AG272" s="24">
        <f>IF(AQ272="2",BI272,0)</f>
        <v>0</v>
      </c>
      <c r="AH272" s="24">
        <f>IF(AQ272="0",BJ272,0)</f>
        <v>0</v>
      </c>
      <c r="AI272" s="10" t="s">
        <v>51</v>
      </c>
      <c r="AJ272" s="24">
        <f>IF(AN272=0,J272,0)</f>
        <v>0</v>
      </c>
      <c r="AK272" s="24">
        <f>IF(AN272=12,J272,0)</f>
        <v>0</v>
      </c>
      <c r="AL272" s="24">
        <f>IF(AN272=21,J272,0)</f>
        <v>0</v>
      </c>
      <c r="AN272" s="24">
        <v>21</v>
      </c>
      <c r="AO272" s="24">
        <f>G272*0.030268199</f>
        <v>0</v>
      </c>
      <c r="AP272" s="24">
        <f>G272*(1-0.030268199)</f>
        <v>0</v>
      </c>
      <c r="AQ272" s="26" t="s">
        <v>54</v>
      </c>
      <c r="AV272" s="24">
        <f>AW272+AX272</f>
        <v>0</v>
      </c>
      <c r="AW272" s="24">
        <f>F272*AO272</f>
        <v>0</v>
      </c>
      <c r="AX272" s="24">
        <f>F272*AP272</f>
        <v>0</v>
      </c>
      <c r="AY272" s="26" t="s">
        <v>520</v>
      </c>
      <c r="AZ272" s="26" t="s">
        <v>406</v>
      </c>
      <c r="BA272" s="10" t="s">
        <v>59</v>
      </c>
      <c r="BC272" s="24">
        <f>AW272+AX272</f>
        <v>0</v>
      </c>
      <c r="BD272" s="24">
        <f>G272/(100-BE272)*100</f>
        <v>0</v>
      </c>
      <c r="BE272" s="24">
        <v>0</v>
      </c>
      <c r="BF272" s="24">
        <f>272</f>
        <v>272</v>
      </c>
      <c r="BH272" s="24">
        <f>F272*AO272</f>
        <v>0</v>
      </c>
      <c r="BI272" s="24">
        <f>F272*AP272</f>
        <v>0</v>
      </c>
      <c r="BJ272" s="24">
        <f>F272*G272</f>
        <v>0</v>
      </c>
      <c r="BK272" s="24"/>
      <c r="BL272" s="24">
        <v>89</v>
      </c>
      <c r="BW272" s="24">
        <v>21</v>
      </c>
      <c r="BX272" s="4" t="s">
        <v>528</v>
      </c>
    </row>
    <row r="273" spans="1:76">
      <c r="A273" s="27"/>
      <c r="C273" s="28" t="s">
        <v>111</v>
      </c>
      <c r="D273" s="28" t="s">
        <v>51</v>
      </c>
      <c r="F273" s="29">
        <v>137.9</v>
      </c>
      <c r="K273" s="30"/>
    </row>
    <row r="274" spans="1:76">
      <c r="A274" s="31" t="s">
        <v>51</v>
      </c>
      <c r="B274" s="32" t="s">
        <v>529</v>
      </c>
      <c r="C274" s="88" t="s">
        <v>530</v>
      </c>
      <c r="D274" s="89"/>
      <c r="E274" s="33" t="s">
        <v>4</v>
      </c>
      <c r="F274" s="33" t="s">
        <v>4</v>
      </c>
      <c r="G274" s="33" t="s">
        <v>4</v>
      </c>
      <c r="H274" s="1">
        <f>SUM(H275:H275)</f>
        <v>0</v>
      </c>
      <c r="I274" s="1">
        <f>SUM(I275:I275)</f>
        <v>0</v>
      </c>
      <c r="J274" s="1">
        <f>SUM(J275:J275)</f>
        <v>0</v>
      </c>
      <c r="K274" s="34" t="s">
        <v>51</v>
      </c>
      <c r="AI274" s="10" t="s">
        <v>51</v>
      </c>
      <c r="AS274" s="1">
        <f>SUM(AJ275:AJ275)</f>
        <v>0</v>
      </c>
      <c r="AT274" s="1">
        <f>SUM(AK275:AK275)</f>
        <v>0</v>
      </c>
      <c r="AU274" s="1">
        <f>SUM(AL275:AL275)</f>
        <v>0</v>
      </c>
    </row>
    <row r="275" spans="1:76">
      <c r="A275" s="2" t="s">
        <v>531</v>
      </c>
      <c r="B275" s="3" t="s">
        <v>532</v>
      </c>
      <c r="C275" s="72" t="s">
        <v>533</v>
      </c>
      <c r="D275" s="67"/>
      <c r="E275" s="3" t="s">
        <v>57</v>
      </c>
      <c r="F275" s="24">
        <v>1</v>
      </c>
      <c r="G275" s="24">
        <v>0</v>
      </c>
      <c r="H275" s="24">
        <f>F275*AO275</f>
        <v>0</v>
      </c>
      <c r="I275" s="24">
        <f>F275*AP275</f>
        <v>0</v>
      </c>
      <c r="J275" s="24">
        <f>F275*G275</f>
        <v>0</v>
      </c>
      <c r="K275" s="25" t="s">
        <v>51</v>
      </c>
      <c r="Z275" s="24">
        <f>IF(AQ275="5",BJ275,0)</f>
        <v>0</v>
      </c>
      <c r="AB275" s="24">
        <f>IF(AQ275="1",BH275,0)</f>
        <v>0</v>
      </c>
      <c r="AC275" s="24">
        <f>IF(AQ275="1",BI275,0)</f>
        <v>0</v>
      </c>
      <c r="AD275" s="24">
        <f>IF(AQ275="7",BH275,0)</f>
        <v>0</v>
      </c>
      <c r="AE275" s="24">
        <f>IF(AQ275="7",BI275,0)</f>
        <v>0</v>
      </c>
      <c r="AF275" s="24">
        <f>IF(AQ275="2",BH275,0)</f>
        <v>0</v>
      </c>
      <c r="AG275" s="24">
        <f>IF(AQ275="2",BI275,0)</f>
        <v>0</v>
      </c>
      <c r="AH275" s="24">
        <f>IF(AQ275="0",BJ275,0)</f>
        <v>0</v>
      </c>
      <c r="AI275" s="10" t="s">
        <v>51</v>
      </c>
      <c r="AJ275" s="24">
        <f>IF(AN275=0,J275,0)</f>
        <v>0</v>
      </c>
      <c r="AK275" s="24">
        <f>IF(AN275=12,J275,0)</f>
        <v>0</v>
      </c>
      <c r="AL275" s="24">
        <f>IF(AN275=21,J275,0)</f>
        <v>0</v>
      </c>
      <c r="AN275" s="24">
        <v>21</v>
      </c>
      <c r="AO275" s="24">
        <f>G275*0</f>
        <v>0</v>
      </c>
      <c r="AP275" s="24">
        <f>G275*(1-0)</f>
        <v>0</v>
      </c>
      <c r="AQ275" s="26" t="s">
        <v>54</v>
      </c>
      <c r="AV275" s="24">
        <f>AW275+AX275</f>
        <v>0</v>
      </c>
      <c r="AW275" s="24">
        <f>F275*AO275</f>
        <v>0</v>
      </c>
      <c r="AX275" s="24">
        <f>F275*AP275</f>
        <v>0</v>
      </c>
      <c r="AY275" s="26" t="s">
        <v>534</v>
      </c>
      <c r="AZ275" s="26" t="s">
        <v>406</v>
      </c>
      <c r="BA275" s="10" t="s">
        <v>59</v>
      </c>
      <c r="BC275" s="24">
        <f>AW275+AX275</f>
        <v>0</v>
      </c>
      <c r="BD275" s="24">
        <f>G275/(100-BE275)*100</f>
        <v>0</v>
      </c>
      <c r="BE275" s="24">
        <v>0</v>
      </c>
      <c r="BF275" s="24">
        <f>275</f>
        <v>275</v>
      </c>
      <c r="BH275" s="24">
        <f>F275*AO275</f>
        <v>0</v>
      </c>
      <c r="BI275" s="24">
        <f>F275*AP275</f>
        <v>0</v>
      </c>
      <c r="BJ275" s="24">
        <f>F275*G275</f>
        <v>0</v>
      </c>
      <c r="BK275" s="24"/>
      <c r="BL275" s="24">
        <v>891</v>
      </c>
      <c r="BW275" s="24">
        <v>21</v>
      </c>
      <c r="BX275" s="4" t="s">
        <v>533</v>
      </c>
    </row>
    <row r="276" spans="1:76">
      <c r="A276" s="27"/>
      <c r="C276" s="28" t="s">
        <v>54</v>
      </c>
      <c r="D276" s="28" t="s">
        <v>51</v>
      </c>
      <c r="F276" s="29">
        <v>1</v>
      </c>
      <c r="K276" s="30"/>
    </row>
    <row r="277" spans="1:76">
      <c r="A277" s="31" t="s">
        <v>51</v>
      </c>
      <c r="B277" s="32" t="s">
        <v>535</v>
      </c>
      <c r="C277" s="88" t="s">
        <v>536</v>
      </c>
      <c r="D277" s="89"/>
      <c r="E277" s="33" t="s">
        <v>4</v>
      </c>
      <c r="F277" s="33" t="s">
        <v>4</v>
      </c>
      <c r="G277" s="33" t="s">
        <v>4</v>
      </c>
      <c r="H277" s="1">
        <f>SUM(H278:H278)</f>
        <v>0</v>
      </c>
      <c r="I277" s="1">
        <f>SUM(I278:I278)</f>
        <v>0</v>
      </c>
      <c r="J277" s="1">
        <f>SUM(J278:J278)</f>
        <v>0</v>
      </c>
      <c r="K277" s="34" t="s">
        <v>51</v>
      </c>
      <c r="AI277" s="10" t="s">
        <v>51</v>
      </c>
      <c r="AS277" s="1">
        <f>SUM(AJ278:AJ278)</f>
        <v>0</v>
      </c>
      <c r="AT277" s="1">
        <f>SUM(AK278:AK278)</f>
        <v>0</v>
      </c>
      <c r="AU277" s="1">
        <f>SUM(AL278:AL278)</f>
        <v>0</v>
      </c>
    </row>
    <row r="278" spans="1:76">
      <c r="A278" s="2" t="s">
        <v>537</v>
      </c>
      <c r="B278" s="3" t="s">
        <v>538</v>
      </c>
      <c r="C278" s="72" t="s">
        <v>539</v>
      </c>
      <c r="D278" s="67"/>
      <c r="E278" s="3" t="s">
        <v>122</v>
      </c>
      <c r="F278" s="24">
        <v>6</v>
      </c>
      <c r="G278" s="24">
        <v>0</v>
      </c>
      <c r="H278" s="24">
        <f>F278*AO278</f>
        <v>0</v>
      </c>
      <c r="I278" s="24">
        <f>F278*AP278</f>
        <v>0</v>
      </c>
      <c r="J278" s="24">
        <f>F278*G278</f>
        <v>0</v>
      </c>
      <c r="K278" s="25" t="s">
        <v>51</v>
      </c>
      <c r="Z278" s="24">
        <f>IF(AQ278="5",BJ278,0)</f>
        <v>0</v>
      </c>
      <c r="AB278" s="24">
        <f>IF(AQ278="1",BH278,0)</f>
        <v>0</v>
      </c>
      <c r="AC278" s="24">
        <f>IF(AQ278="1",BI278,0)</f>
        <v>0</v>
      </c>
      <c r="AD278" s="24">
        <f>IF(AQ278="7",BH278,0)</f>
        <v>0</v>
      </c>
      <c r="AE278" s="24">
        <f>IF(AQ278="7",BI278,0)</f>
        <v>0</v>
      </c>
      <c r="AF278" s="24">
        <f>IF(AQ278="2",BH278,0)</f>
        <v>0</v>
      </c>
      <c r="AG278" s="24">
        <f>IF(AQ278="2",BI278,0)</f>
        <v>0</v>
      </c>
      <c r="AH278" s="24">
        <f>IF(AQ278="0",BJ278,0)</f>
        <v>0</v>
      </c>
      <c r="AI278" s="10" t="s">
        <v>51</v>
      </c>
      <c r="AJ278" s="24">
        <f>IF(AN278=0,J278,0)</f>
        <v>0</v>
      </c>
      <c r="AK278" s="24">
        <f>IF(AN278=12,J278,0)</f>
        <v>0</v>
      </c>
      <c r="AL278" s="24">
        <f>IF(AN278=21,J278,0)</f>
        <v>0</v>
      </c>
      <c r="AN278" s="24">
        <v>21</v>
      </c>
      <c r="AO278" s="24">
        <f>G278*0.666666</f>
        <v>0</v>
      </c>
      <c r="AP278" s="24">
        <f>G278*(1-0.666666)</f>
        <v>0</v>
      </c>
      <c r="AQ278" s="26" t="s">
        <v>54</v>
      </c>
      <c r="AV278" s="24">
        <f>AW278+AX278</f>
        <v>0</v>
      </c>
      <c r="AW278" s="24">
        <f>F278*AO278</f>
        <v>0</v>
      </c>
      <c r="AX278" s="24">
        <f>F278*AP278</f>
        <v>0</v>
      </c>
      <c r="AY278" s="26" t="s">
        <v>540</v>
      </c>
      <c r="AZ278" s="26" t="s">
        <v>406</v>
      </c>
      <c r="BA278" s="10" t="s">
        <v>59</v>
      </c>
      <c r="BC278" s="24">
        <f>AW278+AX278</f>
        <v>0</v>
      </c>
      <c r="BD278" s="24">
        <f>G278/(100-BE278)*100</f>
        <v>0</v>
      </c>
      <c r="BE278" s="24">
        <v>0</v>
      </c>
      <c r="BF278" s="24">
        <f>278</f>
        <v>278</v>
      </c>
      <c r="BH278" s="24">
        <f>F278*AO278</f>
        <v>0</v>
      </c>
      <c r="BI278" s="24">
        <f>F278*AP278</f>
        <v>0</v>
      </c>
      <c r="BJ278" s="24">
        <f>F278*G278</f>
        <v>0</v>
      </c>
      <c r="BK278" s="24"/>
      <c r="BL278" s="24">
        <v>894</v>
      </c>
      <c r="BW278" s="24">
        <v>21</v>
      </c>
      <c r="BX278" s="4" t="s">
        <v>539</v>
      </c>
    </row>
    <row r="279" spans="1:76">
      <c r="A279" s="27"/>
      <c r="C279" s="28" t="s">
        <v>541</v>
      </c>
      <c r="D279" s="28" t="s">
        <v>51</v>
      </c>
      <c r="F279" s="29">
        <v>5</v>
      </c>
      <c r="K279" s="30"/>
    </row>
    <row r="280" spans="1:76">
      <c r="A280" s="27"/>
      <c r="C280" s="28" t="s">
        <v>542</v>
      </c>
      <c r="D280" s="28" t="s">
        <v>51</v>
      </c>
      <c r="F280" s="29">
        <v>1</v>
      </c>
      <c r="K280" s="30"/>
    </row>
    <row r="281" spans="1:76">
      <c r="A281" s="31" t="s">
        <v>51</v>
      </c>
      <c r="B281" s="32" t="s">
        <v>509</v>
      </c>
      <c r="C281" s="88" t="s">
        <v>543</v>
      </c>
      <c r="D281" s="89"/>
      <c r="E281" s="33" t="s">
        <v>4</v>
      </c>
      <c r="F281" s="33" t="s">
        <v>4</v>
      </c>
      <c r="G281" s="33" t="s">
        <v>4</v>
      </c>
      <c r="H281" s="1">
        <f>SUM(H282:H282)</f>
        <v>0</v>
      </c>
      <c r="I281" s="1">
        <f>SUM(I282:I282)</f>
        <v>0</v>
      </c>
      <c r="J281" s="1">
        <f>SUM(J282:J282)</f>
        <v>0</v>
      </c>
      <c r="K281" s="34" t="s">
        <v>51</v>
      </c>
      <c r="AI281" s="10" t="s">
        <v>51</v>
      </c>
      <c r="AS281" s="1">
        <f>SUM(AJ282:AJ282)</f>
        <v>0</v>
      </c>
      <c r="AT281" s="1">
        <f>SUM(AK282:AK282)</f>
        <v>0</v>
      </c>
      <c r="AU281" s="1">
        <f>SUM(AL282:AL282)</f>
        <v>0</v>
      </c>
    </row>
    <row r="282" spans="1:76">
      <c r="A282" s="2" t="s">
        <v>544</v>
      </c>
      <c r="B282" s="3" t="s">
        <v>545</v>
      </c>
      <c r="C282" s="72" t="s">
        <v>546</v>
      </c>
      <c r="D282" s="67"/>
      <c r="E282" s="3" t="s">
        <v>81</v>
      </c>
      <c r="F282" s="24">
        <v>280.28800000000001</v>
      </c>
      <c r="G282" s="24">
        <v>0</v>
      </c>
      <c r="H282" s="24">
        <f>F282*AO282</f>
        <v>0</v>
      </c>
      <c r="I282" s="24">
        <f>F282*AP282</f>
        <v>0</v>
      </c>
      <c r="J282" s="24">
        <f>F282*G282</f>
        <v>0</v>
      </c>
      <c r="K282" s="25" t="s">
        <v>71</v>
      </c>
      <c r="Z282" s="24">
        <f>IF(AQ282="5",BJ282,0)</f>
        <v>0</v>
      </c>
      <c r="AB282" s="24">
        <f>IF(AQ282="1",BH282,0)</f>
        <v>0</v>
      </c>
      <c r="AC282" s="24">
        <f>IF(AQ282="1",BI282,0)</f>
        <v>0</v>
      </c>
      <c r="AD282" s="24">
        <f>IF(AQ282="7",BH282,0)</f>
        <v>0</v>
      </c>
      <c r="AE282" s="24">
        <f>IF(AQ282="7",BI282,0)</f>
        <v>0</v>
      </c>
      <c r="AF282" s="24">
        <f>IF(AQ282="2",BH282,0)</f>
        <v>0</v>
      </c>
      <c r="AG282" s="24">
        <f>IF(AQ282="2",BI282,0)</f>
        <v>0</v>
      </c>
      <c r="AH282" s="24">
        <f>IF(AQ282="0",BJ282,0)</f>
        <v>0</v>
      </c>
      <c r="AI282" s="10" t="s">
        <v>51</v>
      </c>
      <c r="AJ282" s="24">
        <f>IF(AN282=0,J282,0)</f>
        <v>0</v>
      </c>
      <c r="AK282" s="24">
        <f>IF(AN282=12,J282,0)</f>
        <v>0</v>
      </c>
      <c r="AL282" s="24">
        <f>IF(AN282=21,J282,0)</f>
        <v>0</v>
      </c>
      <c r="AN282" s="24">
        <v>21</v>
      </c>
      <c r="AO282" s="24">
        <f>G282*0.577573034</f>
        <v>0</v>
      </c>
      <c r="AP282" s="24">
        <f>G282*(1-0.577573034)</f>
        <v>0</v>
      </c>
      <c r="AQ282" s="26" t="s">
        <v>54</v>
      </c>
      <c r="AV282" s="24">
        <f>AW282+AX282</f>
        <v>0</v>
      </c>
      <c r="AW282" s="24">
        <f>F282*AO282</f>
        <v>0</v>
      </c>
      <c r="AX282" s="24">
        <f>F282*AP282</f>
        <v>0</v>
      </c>
      <c r="AY282" s="26" t="s">
        <v>547</v>
      </c>
      <c r="AZ282" s="26" t="s">
        <v>548</v>
      </c>
      <c r="BA282" s="10" t="s">
        <v>59</v>
      </c>
      <c r="BC282" s="24">
        <f>AW282+AX282</f>
        <v>0</v>
      </c>
      <c r="BD282" s="24">
        <f>G282/(100-BE282)*100</f>
        <v>0</v>
      </c>
      <c r="BE282" s="24">
        <v>0</v>
      </c>
      <c r="BF282" s="24">
        <f>282</f>
        <v>282</v>
      </c>
      <c r="BH282" s="24">
        <f>F282*AO282</f>
        <v>0</v>
      </c>
      <c r="BI282" s="24">
        <f>F282*AP282</f>
        <v>0</v>
      </c>
      <c r="BJ282" s="24">
        <f>F282*G282</f>
        <v>0</v>
      </c>
      <c r="BK282" s="24"/>
      <c r="BL282" s="24">
        <v>93</v>
      </c>
      <c r="BW282" s="24">
        <v>21</v>
      </c>
      <c r="BX282" s="4" t="s">
        <v>546</v>
      </c>
    </row>
    <row r="283" spans="1:76">
      <c r="A283" s="27"/>
      <c r="C283" s="28" t="s">
        <v>549</v>
      </c>
      <c r="D283" s="28" t="s">
        <v>51</v>
      </c>
      <c r="F283" s="29">
        <v>65.135599999999997</v>
      </c>
      <c r="K283" s="30"/>
    </row>
    <row r="284" spans="1:76">
      <c r="A284" s="27"/>
      <c r="C284" s="28" t="s">
        <v>550</v>
      </c>
      <c r="D284" s="28" t="s">
        <v>51</v>
      </c>
      <c r="F284" s="29">
        <v>48.046599999999998</v>
      </c>
      <c r="K284" s="30"/>
    </row>
    <row r="285" spans="1:76">
      <c r="A285" s="27"/>
      <c r="C285" s="28" t="s">
        <v>551</v>
      </c>
      <c r="D285" s="28" t="s">
        <v>51</v>
      </c>
      <c r="F285" s="29">
        <v>82.102699999999999</v>
      </c>
      <c r="K285" s="30"/>
    </row>
    <row r="286" spans="1:76">
      <c r="A286" s="27"/>
      <c r="C286" s="28" t="s">
        <v>552</v>
      </c>
      <c r="D286" s="28" t="s">
        <v>51</v>
      </c>
      <c r="F286" s="29">
        <v>85.003100000000003</v>
      </c>
      <c r="K286" s="30"/>
    </row>
    <row r="287" spans="1:76">
      <c r="A287" s="27"/>
      <c r="C287" s="28" t="s">
        <v>553</v>
      </c>
      <c r="D287" s="28" t="s">
        <v>51</v>
      </c>
      <c r="F287" s="29">
        <v>0</v>
      </c>
      <c r="K287" s="30"/>
    </row>
    <row r="288" spans="1:76">
      <c r="A288" s="31" t="s">
        <v>51</v>
      </c>
      <c r="B288" s="32" t="s">
        <v>554</v>
      </c>
      <c r="C288" s="88" t="s">
        <v>555</v>
      </c>
      <c r="D288" s="89"/>
      <c r="E288" s="33" t="s">
        <v>4</v>
      </c>
      <c r="F288" s="33" t="s">
        <v>4</v>
      </c>
      <c r="G288" s="33" t="s">
        <v>4</v>
      </c>
      <c r="H288" s="1">
        <f>SUM(H289:H289)</f>
        <v>0</v>
      </c>
      <c r="I288" s="1">
        <f>SUM(I289:I289)</f>
        <v>0</v>
      </c>
      <c r="J288" s="1">
        <f>SUM(J289:J289)</f>
        <v>0</v>
      </c>
      <c r="K288" s="34" t="s">
        <v>51</v>
      </c>
      <c r="AI288" s="10" t="s">
        <v>51</v>
      </c>
      <c r="AS288" s="1">
        <f>SUM(AJ289:AJ289)</f>
        <v>0</v>
      </c>
      <c r="AT288" s="1">
        <f>SUM(AK289:AK289)</f>
        <v>0</v>
      </c>
      <c r="AU288" s="1">
        <f>SUM(AL289:AL289)</f>
        <v>0</v>
      </c>
    </row>
    <row r="289" spans="1:76">
      <c r="A289" s="2" t="s">
        <v>556</v>
      </c>
      <c r="B289" s="3" t="s">
        <v>557</v>
      </c>
      <c r="C289" s="72" t="s">
        <v>558</v>
      </c>
      <c r="D289" s="67"/>
      <c r="E289" s="3" t="s">
        <v>261</v>
      </c>
      <c r="F289" s="24">
        <v>4.6834199999999999</v>
      </c>
      <c r="G289" s="24">
        <v>0</v>
      </c>
      <c r="H289" s="24">
        <f>F289*AO289</f>
        <v>0</v>
      </c>
      <c r="I289" s="24">
        <f>F289*AP289</f>
        <v>0</v>
      </c>
      <c r="J289" s="24">
        <f>F289*G289</f>
        <v>0</v>
      </c>
      <c r="K289" s="25" t="s">
        <v>71</v>
      </c>
      <c r="Z289" s="24">
        <f>IF(AQ289="5",BJ289,0)</f>
        <v>0</v>
      </c>
      <c r="AB289" s="24">
        <f>IF(AQ289="1",BH289,0)</f>
        <v>0</v>
      </c>
      <c r="AC289" s="24">
        <f>IF(AQ289="1",BI289,0)</f>
        <v>0</v>
      </c>
      <c r="AD289" s="24">
        <f>IF(AQ289="7",BH289,0)</f>
        <v>0</v>
      </c>
      <c r="AE289" s="24">
        <f>IF(AQ289="7",BI289,0)</f>
        <v>0</v>
      </c>
      <c r="AF289" s="24">
        <f>IF(AQ289="2",BH289,0)</f>
        <v>0</v>
      </c>
      <c r="AG289" s="24">
        <f>IF(AQ289="2",BI289,0)</f>
        <v>0</v>
      </c>
      <c r="AH289" s="24">
        <f>IF(AQ289="0",BJ289,0)</f>
        <v>0</v>
      </c>
      <c r="AI289" s="10" t="s">
        <v>51</v>
      </c>
      <c r="AJ289" s="24">
        <f>IF(AN289=0,J289,0)</f>
        <v>0</v>
      </c>
      <c r="AK289" s="24">
        <f>IF(AN289=12,J289,0)</f>
        <v>0</v>
      </c>
      <c r="AL289" s="24">
        <f>IF(AN289=21,J289,0)</f>
        <v>0</v>
      </c>
      <c r="AN289" s="24">
        <v>21</v>
      </c>
      <c r="AO289" s="24">
        <f>G289*0</f>
        <v>0</v>
      </c>
      <c r="AP289" s="24">
        <f>G289*(1-0)</f>
        <v>0</v>
      </c>
      <c r="AQ289" s="26" t="s">
        <v>78</v>
      </c>
      <c r="AV289" s="24">
        <f>AW289+AX289</f>
        <v>0</v>
      </c>
      <c r="AW289" s="24">
        <f>F289*AO289</f>
        <v>0</v>
      </c>
      <c r="AX289" s="24">
        <f>F289*AP289</f>
        <v>0</v>
      </c>
      <c r="AY289" s="26" t="s">
        <v>559</v>
      </c>
      <c r="AZ289" s="26" t="s">
        <v>548</v>
      </c>
      <c r="BA289" s="10" t="s">
        <v>59</v>
      </c>
      <c r="BC289" s="24">
        <f>AW289+AX289</f>
        <v>0</v>
      </c>
      <c r="BD289" s="24">
        <f>G289/(100-BE289)*100</f>
        <v>0</v>
      </c>
      <c r="BE289" s="24">
        <v>0</v>
      </c>
      <c r="BF289" s="24">
        <f>289</f>
        <v>289</v>
      </c>
      <c r="BH289" s="24">
        <f>F289*AO289</f>
        <v>0</v>
      </c>
      <c r="BI289" s="24">
        <f>F289*AP289</f>
        <v>0</v>
      </c>
      <c r="BJ289" s="24">
        <f>F289*G289</f>
        <v>0</v>
      </c>
      <c r="BK289" s="24"/>
      <c r="BL289" s="24"/>
      <c r="BW289" s="24">
        <v>21</v>
      </c>
      <c r="BX289" s="4" t="s">
        <v>558</v>
      </c>
    </row>
    <row r="290" spans="1:76">
      <c r="A290" s="27"/>
      <c r="C290" s="28" t="s">
        <v>560</v>
      </c>
      <c r="D290" s="28" t="s">
        <v>51</v>
      </c>
      <c r="F290" s="29">
        <v>4.6834199999999999</v>
      </c>
      <c r="K290" s="30"/>
    </row>
    <row r="291" spans="1:76">
      <c r="A291" s="31" t="s">
        <v>51</v>
      </c>
      <c r="B291" s="32" t="s">
        <v>561</v>
      </c>
      <c r="C291" s="88" t="s">
        <v>562</v>
      </c>
      <c r="D291" s="89"/>
      <c r="E291" s="33" t="s">
        <v>4</v>
      </c>
      <c r="F291" s="33" t="s">
        <v>4</v>
      </c>
      <c r="G291" s="33" t="s">
        <v>4</v>
      </c>
      <c r="H291" s="1">
        <f>SUM(H292:H292)</f>
        <v>0</v>
      </c>
      <c r="I291" s="1">
        <f>SUM(I292:I292)</f>
        <v>0</v>
      </c>
      <c r="J291" s="1">
        <f>SUM(J292:J292)</f>
        <v>0</v>
      </c>
      <c r="K291" s="34" t="s">
        <v>51</v>
      </c>
      <c r="AI291" s="10" t="s">
        <v>51</v>
      </c>
      <c r="AS291" s="1">
        <f>SUM(AJ292:AJ292)</f>
        <v>0</v>
      </c>
      <c r="AT291" s="1">
        <f>SUM(AK292:AK292)</f>
        <v>0</v>
      </c>
      <c r="AU291" s="1">
        <f>SUM(AL292:AL292)</f>
        <v>0</v>
      </c>
    </row>
    <row r="292" spans="1:76">
      <c r="A292" s="2" t="s">
        <v>563</v>
      </c>
      <c r="B292" s="3" t="s">
        <v>564</v>
      </c>
      <c r="C292" s="72" t="s">
        <v>565</v>
      </c>
      <c r="D292" s="67"/>
      <c r="E292" s="3" t="s">
        <v>261</v>
      </c>
      <c r="F292" s="24">
        <v>188.13772</v>
      </c>
      <c r="G292" s="24">
        <v>0</v>
      </c>
      <c r="H292" s="24">
        <f>F292*AO292</f>
        <v>0</v>
      </c>
      <c r="I292" s="24">
        <f>F292*AP292</f>
        <v>0</v>
      </c>
      <c r="J292" s="24">
        <f>F292*G292</f>
        <v>0</v>
      </c>
      <c r="K292" s="25" t="s">
        <v>71</v>
      </c>
      <c r="Z292" s="24">
        <f>IF(AQ292="5",BJ292,0)</f>
        <v>0</v>
      </c>
      <c r="AB292" s="24">
        <f>IF(AQ292="1",BH292,0)</f>
        <v>0</v>
      </c>
      <c r="AC292" s="24">
        <f>IF(AQ292="1",BI292,0)</f>
        <v>0</v>
      </c>
      <c r="AD292" s="24">
        <f>IF(AQ292="7",BH292,0)</f>
        <v>0</v>
      </c>
      <c r="AE292" s="24">
        <f>IF(AQ292="7",BI292,0)</f>
        <v>0</v>
      </c>
      <c r="AF292" s="24">
        <f>IF(AQ292="2",BH292,0)</f>
        <v>0</v>
      </c>
      <c r="AG292" s="24">
        <f>IF(AQ292="2",BI292,0)</f>
        <v>0</v>
      </c>
      <c r="AH292" s="24">
        <f>IF(AQ292="0",BJ292,0)</f>
        <v>0</v>
      </c>
      <c r="AI292" s="10" t="s">
        <v>51</v>
      </c>
      <c r="AJ292" s="24">
        <f>IF(AN292=0,J292,0)</f>
        <v>0</v>
      </c>
      <c r="AK292" s="24">
        <f>IF(AN292=12,J292,0)</f>
        <v>0</v>
      </c>
      <c r="AL292" s="24">
        <f>IF(AN292=21,J292,0)</f>
        <v>0</v>
      </c>
      <c r="AN292" s="24">
        <v>21</v>
      </c>
      <c r="AO292" s="24">
        <f>G292*0</f>
        <v>0</v>
      </c>
      <c r="AP292" s="24">
        <f>G292*(1-0)</f>
        <v>0</v>
      </c>
      <c r="AQ292" s="26" t="s">
        <v>78</v>
      </c>
      <c r="AV292" s="24">
        <f>AW292+AX292</f>
        <v>0</v>
      </c>
      <c r="AW292" s="24">
        <f>F292*AO292</f>
        <v>0</v>
      </c>
      <c r="AX292" s="24">
        <f>F292*AP292</f>
        <v>0</v>
      </c>
      <c r="AY292" s="26" t="s">
        <v>566</v>
      </c>
      <c r="AZ292" s="26" t="s">
        <v>548</v>
      </c>
      <c r="BA292" s="10" t="s">
        <v>59</v>
      </c>
      <c r="BC292" s="24">
        <f>AW292+AX292</f>
        <v>0</v>
      </c>
      <c r="BD292" s="24">
        <f>G292/(100-BE292)*100</f>
        <v>0</v>
      </c>
      <c r="BE292" s="24">
        <v>0</v>
      </c>
      <c r="BF292" s="24">
        <f>292</f>
        <v>292</v>
      </c>
      <c r="BH292" s="24">
        <f>F292*AO292</f>
        <v>0</v>
      </c>
      <c r="BI292" s="24">
        <f>F292*AP292</f>
        <v>0</v>
      </c>
      <c r="BJ292" s="24">
        <f>F292*G292</f>
        <v>0</v>
      </c>
      <c r="BK292" s="24"/>
      <c r="BL292" s="24"/>
      <c r="BW292" s="24">
        <v>21</v>
      </c>
      <c r="BX292" s="4" t="s">
        <v>565</v>
      </c>
    </row>
    <row r="293" spans="1:76">
      <c r="A293" s="27"/>
      <c r="C293" s="28" t="s">
        <v>567</v>
      </c>
      <c r="D293" s="28" t="s">
        <v>51</v>
      </c>
      <c r="F293" s="29">
        <v>188.13772</v>
      </c>
      <c r="K293" s="30"/>
    </row>
    <row r="294" spans="1:76">
      <c r="A294" s="31" t="s">
        <v>51</v>
      </c>
      <c r="B294" s="32" t="s">
        <v>568</v>
      </c>
      <c r="C294" s="88" t="s">
        <v>569</v>
      </c>
      <c r="D294" s="89"/>
      <c r="E294" s="33" t="s">
        <v>4</v>
      </c>
      <c r="F294" s="33" t="s">
        <v>4</v>
      </c>
      <c r="G294" s="33" t="s">
        <v>4</v>
      </c>
      <c r="H294" s="1">
        <f>SUM(H295:H295)</f>
        <v>0</v>
      </c>
      <c r="I294" s="1">
        <f>SUM(I295:I295)</f>
        <v>0</v>
      </c>
      <c r="J294" s="1">
        <f>SUM(J295:J295)</f>
        <v>0</v>
      </c>
      <c r="K294" s="34" t="s">
        <v>51</v>
      </c>
      <c r="AI294" s="10" t="s">
        <v>51</v>
      </c>
      <c r="AS294" s="1">
        <f>SUM(AJ295:AJ295)</f>
        <v>0</v>
      </c>
      <c r="AT294" s="1">
        <f>SUM(AK295:AK295)</f>
        <v>0</v>
      </c>
      <c r="AU294" s="1">
        <f>SUM(AL295:AL295)</f>
        <v>0</v>
      </c>
    </row>
    <row r="295" spans="1:76">
      <c r="A295" s="2" t="s">
        <v>570</v>
      </c>
      <c r="B295" s="3" t="s">
        <v>571</v>
      </c>
      <c r="C295" s="72" t="s">
        <v>572</v>
      </c>
      <c r="D295" s="67"/>
      <c r="E295" s="3" t="s">
        <v>261</v>
      </c>
      <c r="F295" s="24">
        <v>3.11517</v>
      </c>
      <c r="G295" s="24">
        <v>0</v>
      </c>
      <c r="H295" s="24">
        <f>F295*AO295</f>
        <v>0</v>
      </c>
      <c r="I295" s="24">
        <f>F295*AP295</f>
        <v>0</v>
      </c>
      <c r="J295" s="24">
        <f>F295*G295</f>
        <v>0</v>
      </c>
      <c r="K295" s="25" t="s">
        <v>71</v>
      </c>
      <c r="Z295" s="24">
        <f>IF(AQ295="5",BJ295,0)</f>
        <v>0</v>
      </c>
      <c r="AB295" s="24">
        <f>IF(AQ295="1",BH295,0)</f>
        <v>0</v>
      </c>
      <c r="AC295" s="24">
        <f>IF(AQ295="1",BI295,0)</f>
        <v>0</v>
      </c>
      <c r="AD295" s="24">
        <f>IF(AQ295="7",BH295,0)</f>
        <v>0</v>
      </c>
      <c r="AE295" s="24">
        <f>IF(AQ295="7",BI295,0)</f>
        <v>0</v>
      </c>
      <c r="AF295" s="24">
        <f>IF(AQ295="2",BH295,0)</f>
        <v>0</v>
      </c>
      <c r="AG295" s="24">
        <f>IF(AQ295="2",BI295,0)</f>
        <v>0</v>
      </c>
      <c r="AH295" s="24">
        <f>IF(AQ295="0",BJ295,0)</f>
        <v>0</v>
      </c>
      <c r="AI295" s="10" t="s">
        <v>51</v>
      </c>
      <c r="AJ295" s="24">
        <f>IF(AN295=0,J295,0)</f>
        <v>0</v>
      </c>
      <c r="AK295" s="24">
        <f>IF(AN295=12,J295,0)</f>
        <v>0</v>
      </c>
      <c r="AL295" s="24">
        <f>IF(AN295=21,J295,0)</f>
        <v>0</v>
      </c>
      <c r="AN295" s="24">
        <v>21</v>
      </c>
      <c r="AO295" s="24">
        <f>G295*0</f>
        <v>0</v>
      </c>
      <c r="AP295" s="24">
        <f>G295*(1-0)</f>
        <v>0</v>
      </c>
      <c r="AQ295" s="26" t="s">
        <v>78</v>
      </c>
      <c r="AV295" s="24">
        <f>AW295+AX295</f>
        <v>0</v>
      </c>
      <c r="AW295" s="24">
        <f>F295*AO295</f>
        <v>0</v>
      </c>
      <c r="AX295" s="24">
        <f>F295*AP295</f>
        <v>0</v>
      </c>
      <c r="AY295" s="26" t="s">
        <v>573</v>
      </c>
      <c r="AZ295" s="26" t="s">
        <v>548</v>
      </c>
      <c r="BA295" s="10" t="s">
        <v>59</v>
      </c>
      <c r="BC295" s="24">
        <f>AW295+AX295</f>
        <v>0</v>
      </c>
      <c r="BD295" s="24">
        <f>G295/(100-BE295)*100</f>
        <v>0</v>
      </c>
      <c r="BE295" s="24">
        <v>0</v>
      </c>
      <c r="BF295" s="24">
        <f>295</f>
        <v>295</v>
      </c>
      <c r="BH295" s="24">
        <f>F295*AO295</f>
        <v>0</v>
      </c>
      <c r="BI295" s="24">
        <f>F295*AP295</f>
        <v>0</v>
      </c>
      <c r="BJ295" s="24">
        <f>F295*G295</f>
        <v>0</v>
      </c>
      <c r="BK295" s="24"/>
      <c r="BL295" s="24"/>
      <c r="BW295" s="24">
        <v>21</v>
      </c>
      <c r="BX295" s="4" t="s">
        <v>572</v>
      </c>
    </row>
    <row r="296" spans="1:76">
      <c r="A296" s="27"/>
      <c r="C296" s="28" t="s">
        <v>574</v>
      </c>
      <c r="D296" s="28" t="s">
        <v>51</v>
      </c>
      <c r="F296" s="29">
        <v>3.11517</v>
      </c>
      <c r="K296" s="30"/>
    </row>
    <row r="297" spans="1:76">
      <c r="A297" s="31" t="s">
        <v>51</v>
      </c>
      <c r="B297" s="32" t="s">
        <v>575</v>
      </c>
      <c r="C297" s="88" t="s">
        <v>576</v>
      </c>
      <c r="D297" s="89"/>
      <c r="E297" s="33" t="s">
        <v>4</v>
      </c>
      <c r="F297" s="33" t="s">
        <v>4</v>
      </c>
      <c r="G297" s="33" t="s">
        <v>4</v>
      </c>
      <c r="H297" s="1">
        <f>SUM(H298:H302)</f>
        <v>0</v>
      </c>
      <c r="I297" s="1">
        <f>SUM(I298:I302)</f>
        <v>0</v>
      </c>
      <c r="J297" s="1">
        <f>SUM(J298:J302)</f>
        <v>0</v>
      </c>
      <c r="K297" s="34" t="s">
        <v>51</v>
      </c>
      <c r="AI297" s="10" t="s">
        <v>51</v>
      </c>
      <c r="AS297" s="1">
        <f>SUM(AJ298:AJ302)</f>
        <v>0</v>
      </c>
      <c r="AT297" s="1">
        <f>SUM(AK298:AK302)</f>
        <v>0</v>
      </c>
      <c r="AU297" s="1">
        <f>SUM(AL298:AL302)</f>
        <v>0</v>
      </c>
    </row>
    <row r="298" spans="1:76">
      <c r="A298" s="2" t="s">
        <v>577</v>
      </c>
      <c r="B298" s="3" t="s">
        <v>578</v>
      </c>
      <c r="C298" s="72" t="s">
        <v>579</v>
      </c>
      <c r="D298" s="67"/>
      <c r="E298" s="3" t="s">
        <v>122</v>
      </c>
      <c r="F298" s="24">
        <v>3</v>
      </c>
      <c r="G298" s="24">
        <v>0</v>
      </c>
      <c r="H298" s="24">
        <f>F298*AO298</f>
        <v>0</v>
      </c>
      <c r="I298" s="24">
        <f>F298*AP298</f>
        <v>0</v>
      </c>
      <c r="J298" s="24">
        <f>F298*G298</f>
        <v>0</v>
      </c>
      <c r="K298" s="25" t="s">
        <v>71</v>
      </c>
      <c r="Z298" s="24">
        <f>IF(AQ298="5",BJ298,0)</f>
        <v>0</v>
      </c>
      <c r="AB298" s="24">
        <f>IF(AQ298="1",BH298,0)</f>
        <v>0</v>
      </c>
      <c r="AC298" s="24">
        <f>IF(AQ298="1",BI298,0)</f>
        <v>0</v>
      </c>
      <c r="AD298" s="24">
        <f>IF(AQ298="7",BH298,0)</f>
        <v>0</v>
      </c>
      <c r="AE298" s="24">
        <f>IF(AQ298="7",BI298,0)</f>
        <v>0</v>
      </c>
      <c r="AF298" s="24">
        <f>IF(AQ298="2",BH298,0)</f>
        <v>0</v>
      </c>
      <c r="AG298" s="24">
        <f>IF(AQ298="2",BI298,0)</f>
        <v>0</v>
      </c>
      <c r="AH298" s="24">
        <f>IF(AQ298="0",BJ298,0)</f>
        <v>0</v>
      </c>
      <c r="AI298" s="10" t="s">
        <v>51</v>
      </c>
      <c r="AJ298" s="24">
        <f>IF(AN298=0,J298,0)</f>
        <v>0</v>
      </c>
      <c r="AK298" s="24">
        <f>IF(AN298=12,J298,0)</f>
        <v>0</v>
      </c>
      <c r="AL298" s="24">
        <f>IF(AN298=21,J298,0)</f>
        <v>0</v>
      </c>
      <c r="AN298" s="24">
        <v>21</v>
      </c>
      <c r="AO298" s="24">
        <f>G298*0</f>
        <v>0</v>
      </c>
      <c r="AP298" s="24">
        <f>G298*(1-0)</f>
        <v>0</v>
      </c>
      <c r="AQ298" s="26" t="s">
        <v>61</v>
      </c>
      <c r="AV298" s="24">
        <f>AW298+AX298</f>
        <v>0</v>
      </c>
      <c r="AW298" s="24">
        <f>F298*AO298</f>
        <v>0</v>
      </c>
      <c r="AX298" s="24">
        <f>F298*AP298</f>
        <v>0</v>
      </c>
      <c r="AY298" s="26" t="s">
        <v>580</v>
      </c>
      <c r="AZ298" s="26" t="s">
        <v>548</v>
      </c>
      <c r="BA298" s="10" t="s">
        <v>59</v>
      </c>
      <c r="BC298" s="24">
        <f>AW298+AX298</f>
        <v>0</v>
      </c>
      <c r="BD298" s="24">
        <f>G298/(100-BE298)*100</f>
        <v>0</v>
      </c>
      <c r="BE298" s="24">
        <v>0</v>
      </c>
      <c r="BF298" s="24">
        <f>298</f>
        <v>298</v>
      </c>
      <c r="BH298" s="24">
        <f>F298*AO298</f>
        <v>0</v>
      </c>
      <c r="BI298" s="24">
        <f>F298*AP298</f>
        <v>0</v>
      </c>
      <c r="BJ298" s="24">
        <f>F298*G298</f>
        <v>0</v>
      </c>
      <c r="BK298" s="24"/>
      <c r="BL298" s="24"/>
      <c r="BW298" s="24">
        <v>21</v>
      </c>
      <c r="BX298" s="4" t="s">
        <v>579</v>
      </c>
    </row>
    <row r="299" spans="1:76">
      <c r="A299" s="27"/>
      <c r="C299" s="28" t="s">
        <v>581</v>
      </c>
      <c r="D299" s="28" t="s">
        <v>51</v>
      </c>
      <c r="F299" s="29">
        <v>1</v>
      </c>
      <c r="K299" s="30"/>
    </row>
    <row r="300" spans="1:76">
      <c r="A300" s="27"/>
      <c r="C300" s="28" t="s">
        <v>582</v>
      </c>
      <c r="D300" s="28" t="s">
        <v>51</v>
      </c>
      <c r="F300" s="29">
        <v>2</v>
      </c>
      <c r="K300" s="30"/>
    </row>
    <row r="301" spans="1:76">
      <c r="A301" s="2" t="s">
        <v>583</v>
      </c>
      <c r="B301" s="3" t="s">
        <v>584</v>
      </c>
      <c r="C301" s="72" t="s">
        <v>585</v>
      </c>
      <c r="D301" s="67"/>
      <c r="E301" s="3" t="s">
        <v>122</v>
      </c>
      <c r="F301" s="24">
        <v>1</v>
      </c>
      <c r="G301" s="24">
        <v>0</v>
      </c>
      <c r="H301" s="24">
        <f>F301*AO301</f>
        <v>0</v>
      </c>
      <c r="I301" s="24">
        <f>F301*AP301</f>
        <v>0</v>
      </c>
      <c r="J301" s="24">
        <f>F301*G301</f>
        <v>0</v>
      </c>
      <c r="K301" s="25" t="s">
        <v>51</v>
      </c>
      <c r="Z301" s="24">
        <f>IF(AQ301="5",BJ301,0)</f>
        <v>0</v>
      </c>
      <c r="AB301" s="24">
        <f>IF(AQ301="1",BH301,0)</f>
        <v>0</v>
      </c>
      <c r="AC301" s="24">
        <f>IF(AQ301="1",BI301,0)</f>
        <v>0</v>
      </c>
      <c r="AD301" s="24">
        <f>IF(AQ301="7",BH301,0)</f>
        <v>0</v>
      </c>
      <c r="AE301" s="24">
        <f>IF(AQ301="7",BI301,0)</f>
        <v>0</v>
      </c>
      <c r="AF301" s="24">
        <f>IF(AQ301="2",BH301,0)</f>
        <v>0</v>
      </c>
      <c r="AG301" s="24">
        <f>IF(AQ301="2",BI301,0)</f>
        <v>0</v>
      </c>
      <c r="AH301" s="24">
        <f>IF(AQ301="0",BJ301,0)</f>
        <v>0</v>
      </c>
      <c r="AI301" s="10" t="s">
        <v>51</v>
      </c>
      <c r="AJ301" s="24">
        <f>IF(AN301=0,J301,0)</f>
        <v>0</v>
      </c>
      <c r="AK301" s="24">
        <f>IF(AN301=12,J301,0)</f>
        <v>0</v>
      </c>
      <c r="AL301" s="24">
        <f>IF(AN301=21,J301,0)</f>
        <v>0</v>
      </c>
      <c r="AN301" s="24">
        <v>21</v>
      </c>
      <c r="AO301" s="24">
        <f>G301*1</f>
        <v>0</v>
      </c>
      <c r="AP301" s="24">
        <f>G301*(1-1)</f>
        <v>0</v>
      </c>
      <c r="AQ301" s="26" t="s">
        <v>54</v>
      </c>
      <c r="AV301" s="24">
        <f>AW301+AX301</f>
        <v>0</v>
      </c>
      <c r="AW301" s="24">
        <f>F301*AO301</f>
        <v>0</v>
      </c>
      <c r="AX301" s="24">
        <f>F301*AP301</f>
        <v>0</v>
      </c>
      <c r="AY301" s="26" t="s">
        <v>580</v>
      </c>
      <c r="AZ301" s="26" t="s">
        <v>548</v>
      </c>
      <c r="BA301" s="10" t="s">
        <v>59</v>
      </c>
      <c r="BC301" s="24">
        <f>AW301+AX301</f>
        <v>0</v>
      </c>
      <c r="BD301" s="24">
        <f>G301/(100-BE301)*100</f>
        <v>0</v>
      </c>
      <c r="BE301" s="24">
        <v>0</v>
      </c>
      <c r="BF301" s="24">
        <f>301</f>
        <v>301</v>
      </c>
      <c r="BH301" s="24">
        <f>F301*AO301</f>
        <v>0</v>
      </c>
      <c r="BI301" s="24">
        <f>F301*AP301</f>
        <v>0</v>
      </c>
      <c r="BJ301" s="24">
        <f>F301*G301</f>
        <v>0</v>
      </c>
      <c r="BK301" s="24"/>
      <c r="BL301" s="24"/>
      <c r="BW301" s="24">
        <v>21</v>
      </c>
      <c r="BX301" s="4" t="s">
        <v>585</v>
      </c>
    </row>
    <row r="302" spans="1:76">
      <c r="A302" s="2" t="s">
        <v>586</v>
      </c>
      <c r="B302" s="3" t="s">
        <v>587</v>
      </c>
      <c r="C302" s="72" t="s">
        <v>588</v>
      </c>
      <c r="D302" s="67"/>
      <c r="E302" s="3" t="s">
        <v>122</v>
      </c>
      <c r="F302" s="24">
        <v>2</v>
      </c>
      <c r="G302" s="24">
        <v>0</v>
      </c>
      <c r="H302" s="24">
        <f>F302*AO302</f>
        <v>0</v>
      </c>
      <c r="I302" s="24">
        <f>F302*AP302</f>
        <v>0</v>
      </c>
      <c r="J302" s="24">
        <f>F302*G302</f>
        <v>0</v>
      </c>
      <c r="K302" s="25" t="s">
        <v>51</v>
      </c>
      <c r="Z302" s="24">
        <f>IF(AQ302="5",BJ302,0)</f>
        <v>0</v>
      </c>
      <c r="AB302" s="24">
        <f>IF(AQ302="1",BH302,0)</f>
        <v>0</v>
      </c>
      <c r="AC302" s="24">
        <f>IF(AQ302="1",BI302,0)</f>
        <v>0</v>
      </c>
      <c r="AD302" s="24">
        <f>IF(AQ302="7",BH302,0)</f>
        <v>0</v>
      </c>
      <c r="AE302" s="24">
        <f>IF(AQ302="7",BI302,0)</f>
        <v>0</v>
      </c>
      <c r="AF302" s="24">
        <f>IF(AQ302="2",BH302,0)</f>
        <v>0</v>
      </c>
      <c r="AG302" s="24">
        <f>IF(AQ302="2",BI302,0)</f>
        <v>0</v>
      </c>
      <c r="AH302" s="24">
        <f>IF(AQ302="0",BJ302,0)</f>
        <v>0</v>
      </c>
      <c r="AI302" s="10" t="s">
        <v>51</v>
      </c>
      <c r="AJ302" s="24">
        <f>IF(AN302=0,J302,0)</f>
        <v>0</v>
      </c>
      <c r="AK302" s="24">
        <f>IF(AN302=12,J302,0)</f>
        <v>0</v>
      </c>
      <c r="AL302" s="24">
        <f>IF(AN302=21,J302,0)</f>
        <v>0</v>
      </c>
      <c r="AN302" s="24">
        <v>21</v>
      </c>
      <c r="AO302" s="24">
        <f>G302*1</f>
        <v>0</v>
      </c>
      <c r="AP302" s="24">
        <f>G302*(1-1)</f>
        <v>0</v>
      </c>
      <c r="AQ302" s="26" t="s">
        <v>54</v>
      </c>
      <c r="AV302" s="24">
        <f>AW302+AX302</f>
        <v>0</v>
      </c>
      <c r="AW302" s="24">
        <f>F302*AO302</f>
        <v>0</v>
      </c>
      <c r="AX302" s="24">
        <f>F302*AP302</f>
        <v>0</v>
      </c>
      <c r="AY302" s="26" t="s">
        <v>580</v>
      </c>
      <c r="AZ302" s="26" t="s">
        <v>548</v>
      </c>
      <c r="BA302" s="10" t="s">
        <v>59</v>
      </c>
      <c r="BC302" s="24">
        <f>AW302+AX302</f>
        <v>0</v>
      </c>
      <c r="BD302" s="24">
        <f>G302/(100-BE302)*100</f>
        <v>0</v>
      </c>
      <c r="BE302" s="24">
        <v>0</v>
      </c>
      <c r="BF302" s="24">
        <f>302</f>
        <v>302</v>
      </c>
      <c r="BH302" s="24">
        <f>F302*AO302</f>
        <v>0</v>
      </c>
      <c r="BI302" s="24">
        <f>F302*AP302</f>
        <v>0</v>
      </c>
      <c r="BJ302" s="24">
        <f>F302*G302</f>
        <v>0</v>
      </c>
      <c r="BK302" s="24"/>
      <c r="BL302" s="24"/>
      <c r="BW302" s="24">
        <v>21</v>
      </c>
      <c r="BX302" s="4" t="s">
        <v>588</v>
      </c>
    </row>
    <row r="303" spans="1:76">
      <c r="A303" s="31" t="s">
        <v>51</v>
      </c>
      <c r="B303" s="32" t="s">
        <v>589</v>
      </c>
      <c r="C303" s="88" t="s">
        <v>590</v>
      </c>
      <c r="D303" s="89"/>
      <c r="E303" s="33" t="s">
        <v>4</v>
      </c>
      <c r="F303" s="33" t="s">
        <v>4</v>
      </c>
      <c r="G303" s="33" t="s">
        <v>4</v>
      </c>
      <c r="H303" s="1">
        <f>SUM(H304:H304)</f>
        <v>0</v>
      </c>
      <c r="I303" s="1">
        <f>SUM(I304:I304)</f>
        <v>0</v>
      </c>
      <c r="J303" s="1">
        <f>SUM(J304:J304)</f>
        <v>0</v>
      </c>
      <c r="K303" s="34" t="s">
        <v>51</v>
      </c>
      <c r="AI303" s="10" t="s">
        <v>51</v>
      </c>
      <c r="AS303" s="1">
        <f>SUM(AJ304:AJ304)</f>
        <v>0</v>
      </c>
      <c r="AT303" s="1">
        <f>SUM(AK304:AK304)</f>
        <v>0</v>
      </c>
      <c r="AU303" s="1">
        <f>SUM(AL304:AL304)</f>
        <v>0</v>
      </c>
    </row>
    <row r="304" spans="1:76">
      <c r="A304" s="2" t="s">
        <v>591</v>
      </c>
      <c r="B304" s="3" t="s">
        <v>592</v>
      </c>
      <c r="C304" s="72" t="s">
        <v>593</v>
      </c>
      <c r="D304" s="67"/>
      <c r="E304" s="3" t="s">
        <v>91</v>
      </c>
      <c r="F304" s="24">
        <v>1.8134999999999999</v>
      </c>
      <c r="G304" s="24">
        <v>0</v>
      </c>
      <c r="H304" s="24">
        <f>F304*AO304</f>
        <v>0</v>
      </c>
      <c r="I304" s="24">
        <f>F304*AP304</f>
        <v>0</v>
      </c>
      <c r="J304" s="24">
        <f>F304*G304</f>
        <v>0</v>
      </c>
      <c r="K304" s="25" t="s">
        <v>71</v>
      </c>
      <c r="Z304" s="24">
        <f>IF(AQ304="5",BJ304,0)</f>
        <v>0</v>
      </c>
      <c r="AB304" s="24">
        <f>IF(AQ304="1",BH304,0)</f>
        <v>0</v>
      </c>
      <c r="AC304" s="24">
        <f>IF(AQ304="1",BI304,0)</f>
        <v>0</v>
      </c>
      <c r="AD304" s="24">
        <f>IF(AQ304="7",BH304,0)</f>
        <v>0</v>
      </c>
      <c r="AE304" s="24">
        <f>IF(AQ304="7",BI304,0)</f>
        <v>0</v>
      </c>
      <c r="AF304" s="24">
        <f>IF(AQ304="2",BH304,0)</f>
        <v>0</v>
      </c>
      <c r="AG304" s="24">
        <f>IF(AQ304="2",BI304,0)</f>
        <v>0</v>
      </c>
      <c r="AH304" s="24">
        <f>IF(AQ304="0",BJ304,0)</f>
        <v>0</v>
      </c>
      <c r="AI304" s="10" t="s">
        <v>51</v>
      </c>
      <c r="AJ304" s="24">
        <f>IF(AN304=0,J304,0)</f>
        <v>0</v>
      </c>
      <c r="AK304" s="24">
        <f>IF(AN304=12,J304,0)</f>
        <v>0</v>
      </c>
      <c r="AL304" s="24">
        <f>IF(AN304=21,J304,0)</f>
        <v>0</v>
      </c>
      <c r="AN304" s="24">
        <v>21</v>
      </c>
      <c r="AO304" s="24">
        <f>G304*0.783427662</f>
        <v>0</v>
      </c>
      <c r="AP304" s="24">
        <f>G304*(1-0.783427662)</f>
        <v>0</v>
      </c>
      <c r="AQ304" s="26" t="s">
        <v>61</v>
      </c>
      <c r="AV304" s="24">
        <f>AW304+AX304</f>
        <v>0</v>
      </c>
      <c r="AW304" s="24">
        <f>F304*AO304</f>
        <v>0</v>
      </c>
      <c r="AX304" s="24">
        <f>F304*AP304</f>
        <v>0</v>
      </c>
      <c r="AY304" s="26" t="s">
        <v>594</v>
      </c>
      <c r="AZ304" s="26" t="s">
        <v>548</v>
      </c>
      <c r="BA304" s="10" t="s">
        <v>59</v>
      </c>
      <c r="BC304" s="24">
        <f>AW304+AX304</f>
        <v>0</v>
      </c>
      <c r="BD304" s="24">
        <f>G304/(100-BE304)*100</f>
        <v>0</v>
      </c>
      <c r="BE304" s="24">
        <v>0</v>
      </c>
      <c r="BF304" s="24">
        <f>304</f>
        <v>304</v>
      </c>
      <c r="BH304" s="24">
        <f>F304*AO304</f>
        <v>0</v>
      </c>
      <c r="BI304" s="24">
        <f>F304*AP304</f>
        <v>0</v>
      </c>
      <c r="BJ304" s="24">
        <f>F304*G304</f>
        <v>0</v>
      </c>
      <c r="BK304" s="24"/>
      <c r="BL304" s="24"/>
      <c r="BW304" s="24">
        <v>21</v>
      </c>
      <c r="BX304" s="4" t="s">
        <v>593</v>
      </c>
    </row>
    <row r="305" spans="1:76">
      <c r="A305" s="27"/>
      <c r="C305" s="28" t="s">
        <v>595</v>
      </c>
      <c r="D305" s="28" t="s">
        <v>51</v>
      </c>
      <c r="F305" s="29">
        <v>1.8134999999999999</v>
      </c>
      <c r="K305" s="30"/>
    </row>
    <row r="306" spans="1:76">
      <c r="A306" s="31" t="s">
        <v>51</v>
      </c>
      <c r="B306" s="32" t="s">
        <v>596</v>
      </c>
      <c r="C306" s="88" t="s">
        <v>597</v>
      </c>
      <c r="D306" s="89"/>
      <c r="E306" s="33" t="s">
        <v>4</v>
      </c>
      <c r="F306" s="33" t="s">
        <v>4</v>
      </c>
      <c r="G306" s="33" t="s">
        <v>4</v>
      </c>
      <c r="H306" s="1">
        <f>SUM(H307:H319)</f>
        <v>0</v>
      </c>
      <c r="I306" s="1">
        <f>SUM(I307:I319)</f>
        <v>0</v>
      </c>
      <c r="J306" s="1">
        <f>SUM(J307:J319)</f>
        <v>0</v>
      </c>
      <c r="K306" s="34" t="s">
        <v>51</v>
      </c>
      <c r="AI306" s="10" t="s">
        <v>51</v>
      </c>
      <c r="AS306" s="1">
        <f>SUM(AJ307:AJ319)</f>
        <v>0</v>
      </c>
      <c r="AT306" s="1">
        <f>SUM(AK307:AK319)</f>
        <v>0</v>
      </c>
      <c r="AU306" s="1">
        <f>SUM(AL307:AL319)</f>
        <v>0</v>
      </c>
    </row>
    <row r="307" spans="1:76">
      <c r="A307" s="2" t="s">
        <v>598</v>
      </c>
      <c r="B307" s="3" t="s">
        <v>599</v>
      </c>
      <c r="C307" s="72" t="s">
        <v>600</v>
      </c>
      <c r="D307" s="67"/>
      <c r="E307" s="3" t="s">
        <v>261</v>
      </c>
      <c r="F307" s="24">
        <v>2.97</v>
      </c>
      <c r="G307" s="24">
        <v>0</v>
      </c>
      <c r="H307" s="24">
        <f>F307*AO307</f>
        <v>0</v>
      </c>
      <c r="I307" s="24">
        <f>F307*AP307</f>
        <v>0</v>
      </c>
      <c r="J307" s="24">
        <f>F307*G307</f>
        <v>0</v>
      </c>
      <c r="K307" s="25" t="s">
        <v>71</v>
      </c>
      <c r="Z307" s="24">
        <f>IF(AQ307="5",BJ307,0)</f>
        <v>0</v>
      </c>
      <c r="AB307" s="24">
        <f>IF(AQ307="1",BH307,0)</f>
        <v>0</v>
      </c>
      <c r="AC307" s="24">
        <f>IF(AQ307="1",BI307,0)</f>
        <v>0</v>
      </c>
      <c r="AD307" s="24">
        <f>IF(AQ307="7",BH307,0)</f>
        <v>0</v>
      </c>
      <c r="AE307" s="24">
        <f>IF(AQ307="7",BI307,0)</f>
        <v>0</v>
      </c>
      <c r="AF307" s="24">
        <f>IF(AQ307="2",BH307,0)</f>
        <v>0</v>
      </c>
      <c r="AG307" s="24">
        <f>IF(AQ307="2",BI307,0)</f>
        <v>0</v>
      </c>
      <c r="AH307" s="24">
        <f>IF(AQ307="0",BJ307,0)</f>
        <v>0</v>
      </c>
      <c r="AI307" s="10" t="s">
        <v>51</v>
      </c>
      <c r="AJ307" s="24">
        <f>IF(AN307=0,J307,0)</f>
        <v>0</v>
      </c>
      <c r="AK307" s="24">
        <f>IF(AN307=12,J307,0)</f>
        <v>0</v>
      </c>
      <c r="AL307" s="24">
        <f>IF(AN307=21,J307,0)</f>
        <v>0</v>
      </c>
      <c r="AN307" s="24">
        <v>21</v>
      </c>
      <c r="AO307" s="24">
        <f>G307*0</f>
        <v>0</v>
      </c>
      <c r="AP307" s="24">
        <f>G307*(1-0)</f>
        <v>0</v>
      </c>
      <c r="AQ307" s="26" t="s">
        <v>78</v>
      </c>
      <c r="AV307" s="24">
        <f>AW307+AX307</f>
        <v>0</v>
      </c>
      <c r="AW307" s="24">
        <f>F307*AO307</f>
        <v>0</v>
      </c>
      <c r="AX307" s="24">
        <f>F307*AP307</f>
        <v>0</v>
      </c>
      <c r="AY307" s="26" t="s">
        <v>601</v>
      </c>
      <c r="AZ307" s="26" t="s">
        <v>548</v>
      </c>
      <c r="BA307" s="10" t="s">
        <v>59</v>
      </c>
      <c r="BC307" s="24">
        <f>AW307+AX307</f>
        <v>0</v>
      </c>
      <c r="BD307" s="24">
        <f>G307/(100-BE307)*100</f>
        <v>0</v>
      </c>
      <c r="BE307" s="24">
        <v>0</v>
      </c>
      <c r="BF307" s="24">
        <f>307</f>
        <v>307</v>
      </c>
      <c r="BH307" s="24">
        <f>F307*AO307</f>
        <v>0</v>
      </c>
      <c r="BI307" s="24">
        <f>F307*AP307</f>
        <v>0</v>
      </c>
      <c r="BJ307" s="24">
        <f>F307*G307</f>
        <v>0</v>
      </c>
      <c r="BK307" s="24"/>
      <c r="BL307" s="24"/>
      <c r="BW307" s="24">
        <v>21</v>
      </c>
      <c r="BX307" s="4" t="s">
        <v>600</v>
      </c>
    </row>
    <row r="308" spans="1:76">
      <c r="A308" s="27"/>
      <c r="C308" s="28" t="s">
        <v>602</v>
      </c>
      <c r="D308" s="28" t="s">
        <v>51</v>
      </c>
      <c r="F308" s="29">
        <v>2.97</v>
      </c>
      <c r="K308" s="30"/>
    </row>
    <row r="309" spans="1:76">
      <c r="A309" s="2" t="s">
        <v>603</v>
      </c>
      <c r="B309" s="3" t="s">
        <v>604</v>
      </c>
      <c r="C309" s="72" t="s">
        <v>605</v>
      </c>
      <c r="D309" s="67"/>
      <c r="E309" s="3" t="s">
        <v>261</v>
      </c>
      <c r="F309" s="24">
        <v>2.97</v>
      </c>
      <c r="G309" s="24">
        <v>0</v>
      </c>
      <c r="H309" s="24">
        <f>F309*AO309</f>
        <v>0</v>
      </c>
      <c r="I309" s="24">
        <f>F309*AP309</f>
        <v>0</v>
      </c>
      <c r="J309" s="24">
        <f>F309*G309</f>
        <v>0</v>
      </c>
      <c r="K309" s="25" t="s">
        <v>71</v>
      </c>
      <c r="Z309" s="24">
        <f>IF(AQ309="5",BJ309,0)</f>
        <v>0</v>
      </c>
      <c r="AB309" s="24">
        <f>IF(AQ309="1",BH309,0)</f>
        <v>0</v>
      </c>
      <c r="AC309" s="24">
        <f>IF(AQ309="1",BI309,0)</f>
        <v>0</v>
      </c>
      <c r="AD309" s="24">
        <f>IF(AQ309="7",BH309,0)</f>
        <v>0</v>
      </c>
      <c r="AE309" s="24">
        <f>IF(AQ309="7",BI309,0)</f>
        <v>0</v>
      </c>
      <c r="AF309" s="24">
        <f>IF(AQ309="2",BH309,0)</f>
        <v>0</v>
      </c>
      <c r="AG309" s="24">
        <f>IF(AQ309="2",BI309,0)</f>
        <v>0</v>
      </c>
      <c r="AH309" s="24">
        <f>IF(AQ309="0",BJ309,0)</f>
        <v>0</v>
      </c>
      <c r="AI309" s="10" t="s">
        <v>51</v>
      </c>
      <c r="AJ309" s="24">
        <f>IF(AN309=0,J309,0)</f>
        <v>0</v>
      </c>
      <c r="AK309" s="24">
        <f>IF(AN309=12,J309,0)</f>
        <v>0</v>
      </c>
      <c r="AL309" s="24">
        <f>IF(AN309=21,J309,0)</f>
        <v>0</v>
      </c>
      <c r="AN309" s="24">
        <v>21</v>
      </c>
      <c r="AO309" s="24">
        <f>G309*0</f>
        <v>0</v>
      </c>
      <c r="AP309" s="24">
        <f>G309*(1-0)</f>
        <v>0</v>
      </c>
      <c r="AQ309" s="26" t="s">
        <v>78</v>
      </c>
      <c r="AV309" s="24">
        <f>AW309+AX309</f>
        <v>0</v>
      </c>
      <c r="AW309" s="24">
        <f>F309*AO309</f>
        <v>0</v>
      </c>
      <c r="AX309" s="24">
        <f>F309*AP309</f>
        <v>0</v>
      </c>
      <c r="AY309" s="26" t="s">
        <v>601</v>
      </c>
      <c r="AZ309" s="26" t="s">
        <v>548</v>
      </c>
      <c r="BA309" s="10" t="s">
        <v>59</v>
      </c>
      <c r="BC309" s="24">
        <f>AW309+AX309</f>
        <v>0</v>
      </c>
      <c r="BD309" s="24">
        <f>G309/(100-BE309)*100</f>
        <v>0</v>
      </c>
      <c r="BE309" s="24">
        <v>0</v>
      </c>
      <c r="BF309" s="24">
        <f>309</f>
        <v>309</v>
      </c>
      <c r="BH309" s="24">
        <f>F309*AO309</f>
        <v>0</v>
      </c>
      <c r="BI309" s="24">
        <f>F309*AP309</f>
        <v>0</v>
      </c>
      <c r="BJ309" s="24">
        <f>F309*G309</f>
        <v>0</v>
      </c>
      <c r="BK309" s="24"/>
      <c r="BL309" s="24"/>
      <c r="BW309" s="24">
        <v>21</v>
      </c>
      <c r="BX309" s="4" t="s">
        <v>605</v>
      </c>
    </row>
    <row r="310" spans="1:76">
      <c r="A310" s="27"/>
      <c r="C310" s="28" t="s">
        <v>602</v>
      </c>
      <c r="D310" s="28" t="s">
        <v>51</v>
      </c>
      <c r="F310" s="29">
        <v>2.97</v>
      </c>
      <c r="K310" s="30"/>
    </row>
    <row r="311" spans="1:76">
      <c r="A311" s="2" t="s">
        <v>606</v>
      </c>
      <c r="B311" s="3" t="s">
        <v>607</v>
      </c>
      <c r="C311" s="72" t="s">
        <v>608</v>
      </c>
      <c r="D311" s="67"/>
      <c r="E311" s="3" t="s">
        <v>261</v>
      </c>
      <c r="F311" s="24">
        <v>56.43</v>
      </c>
      <c r="G311" s="24">
        <v>0</v>
      </c>
      <c r="H311" s="24">
        <f>F311*AO311</f>
        <v>0</v>
      </c>
      <c r="I311" s="24">
        <f>F311*AP311</f>
        <v>0</v>
      </c>
      <c r="J311" s="24">
        <f>F311*G311</f>
        <v>0</v>
      </c>
      <c r="K311" s="25" t="s">
        <v>71</v>
      </c>
      <c r="Z311" s="24">
        <f>IF(AQ311="5",BJ311,0)</f>
        <v>0</v>
      </c>
      <c r="AB311" s="24">
        <f>IF(AQ311="1",BH311,0)</f>
        <v>0</v>
      </c>
      <c r="AC311" s="24">
        <f>IF(AQ311="1",BI311,0)</f>
        <v>0</v>
      </c>
      <c r="AD311" s="24">
        <f>IF(AQ311="7",BH311,0)</f>
        <v>0</v>
      </c>
      <c r="AE311" s="24">
        <f>IF(AQ311="7",BI311,0)</f>
        <v>0</v>
      </c>
      <c r="AF311" s="24">
        <f>IF(AQ311="2",BH311,0)</f>
        <v>0</v>
      </c>
      <c r="AG311" s="24">
        <f>IF(AQ311="2",BI311,0)</f>
        <v>0</v>
      </c>
      <c r="AH311" s="24">
        <f>IF(AQ311="0",BJ311,0)</f>
        <v>0</v>
      </c>
      <c r="AI311" s="10" t="s">
        <v>51</v>
      </c>
      <c r="AJ311" s="24">
        <f>IF(AN311=0,J311,0)</f>
        <v>0</v>
      </c>
      <c r="AK311" s="24">
        <f>IF(AN311=12,J311,0)</f>
        <v>0</v>
      </c>
      <c r="AL311" s="24">
        <f>IF(AN311=21,J311,0)</f>
        <v>0</v>
      </c>
      <c r="AN311" s="24">
        <v>21</v>
      </c>
      <c r="AO311" s="24">
        <f>G311*0</f>
        <v>0</v>
      </c>
      <c r="AP311" s="24">
        <f>G311*(1-0)</f>
        <v>0</v>
      </c>
      <c r="AQ311" s="26" t="s">
        <v>78</v>
      </c>
      <c r="AV311" s="24">
        <f>AW311+AX311</f>
        <v>0</v>
      </c>
      <c r="AW311" s="24">
        <f>F311*AO311</f>
        <v>0</v>
      </c>
      <c r="AX311" s="24">
        <f>F311*AP311</f>
        <v>0</v>
      </c>
      <c r="AY311" s="26" t="s">
        <v>601</v>
      </c>
      <c r="AZ311" s="26" t="s">
        <v>548</v>
      </c>
      <c r="BA311" s="10" t="s">
        <v>59</v>
      </c>
      <c r="BC311" s="24">
        <f>AW311+AX311</f>
        <v>0</v>
      </c>
      <c r="BD311" s="24">
        <f>G311/(100-BE311)*100</f>
        <v>0</v>
      </c>
      <c r="BE311" s="24">
        <v>0</v>
      </c>
      <c r="BF311" s="24">
        <f>311</f>
        <v>311</v>
      </c>
      <c r="BH311" s="24">
        <f>F311*AO311</f>
        <v>0</v>
      </c>
      <c r="BI311" s="24">
        <f>F311*AP311</f>
        <v>0</v>
      </c>
      <c r="BJ311" s="24">
        <f>F311*G311</f>
        <v>0</v>
      </c>
      <c r="BK311" s="24"/>
      <c r="BL311" s="24"/>
      <c r="BW311" s="24">
        <v>21</v>
      </c>
      <c r="BX311" s="4" t="s">
        <v>608</v>
      </c>
    </row>
    <row r="312" spans="1:76">
      <c r="A312" s="27"/>
      <c r="C312" s="28" t="s">
        <v>609</v>
      </c>
      <c r="D312" s="28" t="s">
        <v>51</v>
      </c>
      <c r="F312" s="29">
        <v>56.43</v>
      </c>
      <c r="K312" s="30"/>
    </row>
    <row r="313" spans="1:76">
      <c r="A313" s="2" t="s">
        <v>610</v>
      </c>
      <c r="B313" s="3" t="s">
        <v>611</v>
      </c>
      <c r="C313" s="72" t="s">
        <v>612</v>
      </c>
      <c r="D313" s="67"/>
      <c r="E313" s="3" t="s">
        <v>261</v>
      </c>
      <c r="F313" s="24">
        <v>0.99</v>
      </c>
      <c r="G313" s="24">
        <v>0</v>
      </c>
      <c r="H313" s="24">
        <f>F313*AO313</f>
        <v>0</v>
      </c>
      <c r="I313" s="24">
        <f>F313*AP313</f>
        <v>0</v>
      </c>
      <c r="J313" s="24">
        <f>F313*G313</f>
        <v>0</v>
      </c>
      <c r="K313" s="25" t="s">
        <v>71</v>
      </c>
      <c r="Z313" s="24">
        <f>IF(AQ313="5",BJ313,0)</f>
        <v>0</v>
      </c>
      <c r="AB313" s="24">
        <f>IF(AQ313="1",BH313,0)</f>
        <v>0</v>
      </c>
      <c r="AC313" s="24">
        <f>IF(AQ313="1",BI313,0)</f>
        <v>0</v>
      </c>
      <c r="AD313" s="24">
        <f>IF(AQ313="7",BH313,0)</f>
        <v>0</v>
      </c>
      <c r="AE313" s="24">
        <f>IF(AQ313="7",BI313,0)</f>
        <v>0</v>
      </c>
      <c r="AF313" s="24">
        <f>IF(AQ313="2",BH313,0)</f>
        <v>0</v>
      </c>
      <c r="AG313" s="24">
        <f>IF(AQ313="2",BI313,0)</f>
        <v>0</v>
      </c>
      <c r="AH313" s="24">
        <f>IF(AQ313="0",BJ313,0)</f>
        <v>0</v>
      </c>
      <c r="AI313" s="10" t="s">
        <v>51</v>
      </c>
      <c r="AJ313" s="24">
        <f>IF(AN313=0,J313,0)</f>
        <v>0</v>
      </c>
      <c r="AK313" s="24">
        <f>IF(AN313=12,J313,0)</f>
        <v>0</v>
      </c>
      <c r="AL313" s="24">
        <f>IF(AN313=21,J313,0)</f>
        <v>0</v>
      </c>
      <c r="AN313" s="24">
        <v>21</v>
      </c>
      <c r="AO313" s="24">
        <f>G313*0</f>
        <v>0</v>
      </c>
      <c r="AP313" s="24">
        <f>G313*(1-0)</f>
        <v>0</v>
      </c>
      <c r="AQ313" s="26" t="s">
        <v>78</v>
      </c>
      <c r="AV313" s="24">
        <f>AW313+AX313</f>
        <v>0</v>
      </c>
      <c r="AW313" s="24">
        <f>F313*AO313</f>
        <v>0</v>
      </c>
      <c r="AX313" s="24">
        <f>F313*AP313</f>
        <v>0</v>
      </c>
      <c r="AY313" s="26" t="s">
        <v>601</v>
      </c>
      <c r="AZ313" s="26" t="s">
        <v>548</v>
      </c>
      <c r="BA313" s="10" t="s">
        <v>59</v>
      </c>
      <c r="BC313" s="24">
        <f>AW313+AX313</f>
        <v>0</v>
      </c>
      <c r="BD313" s="24">
        <f>G313/(100-BE313)*100</f>
        <v>0</v>
      </c>
      <c r="BE313" s="24">
        <v>0</v>
      </c>
      <c r="BF313" s="24">
        <f>313</f>
        <v>313</v>
      </c>
      <c r="BH313" s="24">
        <f>F313*AO313</f>
        <v>0</v>
      </c>
      <c r="BI313" s="24">
        <f>F313*AP313</f>
        <v>0</v>
      </c>
      <c r="BJ313" s="24">
        <f>F313*G313</f>
        <v>0</v>
      </c>
      <c r="BK313" s="24"/>
      <c r="BL313" s="24"/>
      <c r="BW313" s="24">
        <v>21</v>
      </c>
      <c r="BX313" s="4" t="s">
        <v>612</v>
      </c>
    </row>
    <row r="314" spans="1:76">
      <c r="A314" s="27"/>
      <c r="C314" s="28" t="s">
        <v>613</v>
      </c>
      <c r="D314" s="28" t="s">
        <v>51</v>
      </c>
      <c r="F314" s="29">
        <v>0.99</v>
      </c>
      <c r="K314" s="30"/>
    </row>
    <row r="315" spans="1:76">
      <c r="A315" s="2" t="s">
        <v>614</v>
      </c>
      <c r="B315" s="3" t="s">
        <v>615</v>
      </c>
      <c r="C315" s="72" t="s">
        <v>616</v>
      </c>
      <c r="D315" s="67"/>
      <c r="E315" s="3" t="s">
        <v>261</v>
      </c>
      <c r="F315" s="24">
        <v>1.98</v>
      </c>
      <c r="G315" s="24">
        <v>0</v>
      </c>
      <c r="H315" s="24">
        <f>F315*AO315</f>
        <v>0</v>
      </c>
      <c r="I315" s="24">
        <f>F315*AP315</f>
        <v>0</v>
      </c>
      <c r="J315" s="24">
        <f>F315*G315</f>
        <v>0</v>
      </c>
      <c r="K315" s="25" t="s">
        <v>71</v>
      </c>
      <c r="Z315" s="24">
        <f>IF(AQ315="5",BJ315,0)</f>
        <v>0</v>
      </c>
      <c r="AB315" s="24">
        <f>IF(AQ315="1",BH315,0)</f>
        <v>0</v>
      </c>
      <c r="AC315" s="24">
        <f>IF(AQ315="1",BI315,0)</f>
        <v>0</v>
      </c>
      <c r="AD315" s="24">
        <f>IF(AQ315="7",BH315,0)</f>
        <v>0</v>
      </c>
      <c r="AE315" s="24">
        <f>IF(AQ315="7",BI315,0)</f>
        <v>0</v>
      </c>
      <c r="AF315" s="24">
        <f>IF(AQ315="2",BH315,0)</f>
        <v>0</v>
      </c>
      <c r="AG315" s="24">
        <f>IF(AQ315="2",BI315,0)</f>
        <v>0</v>
      </c>
      <c r="AH315" s="24">
        <f>IF(AQ315="0",BJ315,0)</f>
        <v>0</v>
      </c>
      <c r="AI315" s="10" t="s">
        <v>51</v>
      </c>
      <c r="AJ315" s="24">
        <f>IF(AN315=0,J315,0)</f>
        <v>0</v>
      </c>
      <c r="AK315" s="24">
        <f>IF(AN315=12,J315,0)</f>
        <v>0</v>
      </c>
      <c r="AL315" s="24">
        <f>IF(AN315=21,J315,0)</f>
        <v>0</v>
      </c>
      <c r="AN315" s="24">
        <v>21</v>
      </c>
      <c r="AO315" s="24">
        <f>G315*0</f>
        <v>0</v>
      </c>
      <c r="AP315" s="24">
        <f>G315*(1-0)</f>
        <v>0</v>
      </c>
      <c r="AQ315" s="26" t="s">
        <v>78</v>
      </c>
      <c r="AV315" s="24">
        <f>AW315+AX315</f>
        <v>0</v>
      </c>
      <c r="AW315" s="24">
        <f>F315*AO315</f>
        <v>0</v>
      </c>
      <c r="AX315" s="24">
        <f>F315*AP315</f>
        <v>0</v>
      </c>
      <c r="AY315" s="26" t="s">
        <v>601</v>
      </c>
      <c r="AZ315" s="26" t="s">
        <v>548</v>
      </c>
      <c r="BA315" s="10" t="s">
        <v>59</v>
      </c>
      <c r="BC315" s="24">
        <f>AW315+AX315</f>
        <v>0</v>
      </c>
      <c r="BD315" s="24">
        <f>G315/(100-BE315)*100</f>
        <v>0</v>
      </c>
      <c r="BE315" s="24">
        <v>0</v>
      </c>
      <c r="BF315" s="24">
        <f>315</f>
        <v>315</v>
      </c>
      <c r="BH315" s="24">
        <f>F315*AO315</f>
        <v>0</v>
      </c>
      <c r="BI315" s="24">
        <f>F315*AP315</f>
        <v>0</v>
      </c>
      <c r="BJ315" s="24">
        <f>F315*G315</f>
        <v>0</v>
      </c>
      <c r="BK315" s="24"/>
      <c r="BL315" s="24"/>
      <c r="BW315" s="24">
        <v>21</v>
      </c>
      <c r="BX315" s="4" t="s">
        <v>616</v>
      </c>
    </row>
    <row r="316" spans="1:76">
      <c r="A316" s="27"/>
      <c r="C316" s="28" t="s">
        <v>617</v>
      </c>
      <c r="D316" s="28" t="s">
        <v>51</v>
      </c>
      <c r="F316" s="29">
        <v>1.98</v>
      </c>
      <c r="K316" s="30"/>
    </row>
    <row r="317" spans="1:76">
      <c r="A317" s="2" t="s">
        <v>618</v>
      </c>
      <c r="B317" s="3" t="s">
        <v>599</v>
      </c>
      <c r="C317" s="72" t="s">
        <v>619</v>
      </c>
      <c r="D317" s="67"/>
      <c r="E317" s="3" t="s">
        <v>261</v>
      </c>
      <c r="F317" s="24">
        <v>0.73899999999999999</v>
      </c>
      <c r="G317" s="24">
        <v>0</v>
      </c>
      <c r="H317" s="24">
        <f>F317*AO317</f>
        <v>0</v>
      </c>
      <c r="I317" s="24">
        <f>F317*AP317</f>
        <v>0</v>
      </c>
      <c r="J317" s="24">
        <f>F317*G317</f>
        <v>0</v>
      </c>
      <c r="K317" s="25" t="s">
        <v>71</v>
      </c>
      <c r="Z317" s="24">
        <f>IF(AQ317="5",BJ317,0)</f>
        <v>0</v>
      </c>
      <c r="AB317" s="24">
        <f>IF(AQ317="1",BH317,0)</f>
        <v>0</v>
      </c>
      <c r="AC317" s="24">
        <f>IF(AQ317="1",BI317,0)</f>
        <v>0</v>
      </c>
      <c r="AD317" s="24">
        <f>IF(AQ317="7",BH317,0)</f>
        <v>0</v>
      </c>
      <c r="AE317" s="24">
        <f>IF(AQ317="7",BI317,0)</f>
        <v>0</v>
      </c>
      <c r="AF317" s="24">
        <f>IF(AQ317="2",BH317,0)</f>
        <v>0</v>
      </c>
      <c r="AG317" s="24">
        <f>IF(AQ317="2",BI317,0)</f>
        <v>0</v>
      </c>
      <c r="AH317" s="24">
        <f>IF(AQ317="0",BJ317,0)</f>
        <v>0</v>
      </c>
      <c r="AI317" s="10" t="s">
        <v>51</v>
      </c>
      <c r="AJ317" s="24">
        <f>IF(AN317=0,J317,0)</f>
        <v>0</v>
      </c>
      <c r="AK317" s="24">
        <f>IF(AN317=12,J317,0)</f>
        <v>0</v>
      </c>
      <c r="AL317" s="24">
        <f>IF(AN317=21,J317,0)</f>
        <v>0</v>
      </c>
      <c r="AN317" s="24">
        <v>21</v>
      </c>
      <c r="AO317" s="24">
        <f>G317*0</f>
        <v>0</v>
      </c>
      <c r="AP317" s="24">
        <f>G317*(1-0)</f>
        <v>0</v>
      </c>
      <c r="AQ317" s="26" t="s">
        <v>78</v>
      </c>
      <c r="AV317" s="24">
        <f>AW317+AX317</f>
        <v>0</v>
      </c>
      <c r="AW317" s="24">
        <f>F317*AO317</f>
        <v>0</v>
      </c>
      <c r="AX317" s="24">
        <f>F317*AP317</f>
        <v>0</v>
      </c>
      <c r="AY317" s="26" t="s">
        <v>601</v>
      </c>
      <c r="AZ317" s="26" t="s">
        <v>548</v>
      </c>
      <c r="BA317" s="10" t="s">
        <v>59</v>
      </c>
      <c r="BC317" s="24">
        <f>AW317+AX317</f>
        <v>0</v>
      </c>
      <c r="BD317" s="24">
        <f>G317/(100-BE317)*100</f>
        <v>0</v>
      </c>
      <c r="BE317" s="24">
        <v>0</v>
      </c>
      <c r="BF317" s="24">
        <f>317</f>
        <v>317</v>
      </c>
      <c r="BH317" s="24">
        <f>F317*AO317</f>
        <v>0</v>
      </c>
      <c r="BI317" s="24">
        <f>F317*AP317</f>
        <v>0</v>
      </c>
      <c r="BJ317" s="24">
        <f>F317*G317</f>
        <v>0</v>
      </c>
      <c r="BK317" s="24"/>
      <c r="BL317" s="24"/>
      <c r="BW317" s="24">
        <v>21</v>
      </c>
      <c r="BX317" s="4" t="s">
        <v>619</v>
      </c>
    </row>
    <row r="318" spans="1:76">
      <c r="A318" s="27"/>
      <c r="C318" s="28" t="s">
        <v>620</v>
      </c>
      <c r="D318" s="28" t="s">
        <v>51</v>
      </c>
      <c r="F318" s="29">
        <v>0.73899999999999999</v>
      </c>
      <c r="K318" s="30"/>
    </row>
    <row r="319" spans="1:76">
      <c r="A319" s="2" t="s">
        <v>621</v>
      </c>
      <c r="B319" s="3" t="s">
        <v>622</v>
      </c>
      <c r="C319" s="72" t="s">
        <v>623</v>
      </c>
      <c r="D319" s="67"/>
      <c r="E319" s="3" t="s">
        <v>261</v>
      </c>
      <c r="F319" s="24">
        <v>0.73899999999999999</v>
      </c>
      <c r="G319" s="24">
        <v>0</v>
      </c>
      <c r="H319" s="24">
        <f>F319*AO319</f>
        <v>0</v>
      </c>
      <c r="I319" s="24">
        <f>F319*AP319</f>
        <v>0</v>
      </c>
      <c r="J319" s="24">
        <f>F319*G319</f>
        <v>0</v>
      </c>
      <c r="K319" s="25" t="s">
        <v>71</v>
      </c>
      <c r="Z319" s="24">
        <f>IF(AQ319="5",BJ319,0)</f>
        <v>0</v>
      </c>
      <c r="AB319" s="24">
        <f>IF(AQ319="1",BH319,0)</f>
        <v>0</v>
      </c>
      <c r="AC319" s="24">
        <f>IF(AQ319="1",BI319,0)</f>
        <v>0</v>
      </c>
      <c r="AD319" s="24">
        <f>IF(AQ319="7",BH319,0)</f>
        <v>0</v>
      </c>
      <c r="AE319" s="24">
        <f>IF(AQ319="7",BI319,0)</f>
        <v>0</v>
      </c>
      <c r="AF319" s="24">
        <f>IF(AQ319="2",BH319,0)</f>
        <v>0</v>
      </c>
      <c r="AG319" s="24">
        <f>IF(AQ319="2",BI319,0)</f>
        <v>0</v>
      </c>
      <c r="AH319" s="24">
        <f>IF(AQ319="0",BJ319,0)</f>
        <v>0</v>
      </c>
      <c r="AI319" s="10" t="s">
        <v>51</v>
      </c>
      <c r="AJ319" s="24">
        <f>IF(AN319=0,J319,0)</f>
        <v>0</v>
      </c>
      <c r="AK319" s="24">
        <f>IF(AN319=12,J319,0)</f>
        <v>0</v>
      </c>
      <c r="AL319" s="24">
        <f>IF(AN319=21,J319,0)</f>
        <v>0</v>
      </c>
      <c r="AN319" s="24">
        <v>21</v>
      </c>
      <c r="AO319" s="24">
        <f>G319*0</f>
        <v>0</v>
      </c>
      <c r="AP319" s="24">
        <f>G319*(1-0)</f>
        <v>0</v>
      </c>
      <c r="AQ319" s="26" t="s">
        <v>78</v>
      </c>
      <c r="AV319" s="24">
        <f>AW319+AX319</f>
        <v>0</v>
      </c>
      <c r="AW319" s="24">
        <f>F319*AO319</f>
        <v>0</v>
      </c>
      <c r="AX319" s="24">
        <f>F319*AP319</f>
        <v>0</v>
      </c>
      <c r="AY319" s="26" t="s">
        <v>601</v>
      </c>
      <c r="AZ319" s="26" t="s">
        <v>548</v>
      </c>
      <c r="BA319" s="10" t="s">
        <v>59</v>
      </c>
      <c r="BC319" s="24">
        <f>AW319+AX319</f>
        <v>0</v>
      </c>
      <c r="BD319" s="24">
        <f>G319/(100-BE319)*100</f>
        <v>0</v>
      </c>
      <c r="BE319" s="24">
        <v>0</v>
      </c>
      <c r="BF319" s="24">
        <f>319</f>
        <v>319</v>
      </c>
      <c r="BH319" s="24">
        <f>F319*AO319</f>
        <v>0</v>
      </c>
      <c r="BI319" s="24">
        <f>F319*AP319</f>
        <v>0</v>
      </c>
      <c r="BJ319" s="24">
        <f>F319*G319</f>
        <v>0</v>
      </c>
      <c r="BK319" s="24"/>
      <c r="BL319" s="24"/>
      <c r="BW319" s="24">
        <v>21</v>
      </c>
      <c r="BX319" s="4" t="s">
        <v>623</v>
      </c>
    </row>
    <row r="320" spans="1:76">
      <c r="A320" s="27"/>
      <c r="C320" s="28" t="s">
        <v>624</v>
      </c>
      <c r="D320" s="28" t="s">
        <v>51</v>
      </c>
      <c r="F320" s="29">
        <v>0.73899999999999999</v>
      </c>
      <c r="K320" s="30"/>
    </row>
    <row r="321" spans="1:76">
      <c r="A321" s="31" t="s">
        <v>51</v>
      </c>
      <c r="B321" s="32" t="s">
        <v>625</v>
      </c>
      <c r="C321" s="88" t="s">
        <v>626</v>
      </c>
      <c r="D321" s="89"/>
      <c r="E321" s="33" t="s">
        <v>4</v>
      </c>
      <c r="F321" s="33" t="s">
        <v>4</v>
      </c>
      <c r="G321" s="33" t="s">
        <v>4</v>
      </c>
      <c r="H321" s="1">
        <f>SUM(H322:H324)</f>
        <v>0</v>
      </c>
      <c r="I321" s="1">
        <f>SUM(I322:I324)</f>
        <v>0</v>
      </c>
      <c r="J321" s="1">
        <f>SUM(J322:J324)</f>
        <v>0</v>
      </c>
      <c r="K321" s="34" t="s">
        <v>51</v>
      </c>
      <c r="AI321" s="10" t="s">
        <v>51</v>
      </c>
      <c r="AS321" s="1">
        <f>SUM(AJ322:AJ324)</f>
        <v>0</v>
      </c>
      <c r="AT321" s="1">
        <f>SUM(AK322:AK324)</f>
        <v>0</v>
      </c>
      <c r="AU321" s="1">
        <f>SUM(AL322:AL324)</f>
        <v>0</v>
      </c>
    </row>
    <row r="322" spans="1:76">
      <c r="A322" s="2" t="s">
        <v>627</v>
      </c>
      <c r="B322" s="3" t="s">
        <v>628</v>
      </c>
      <c r="C322" s="72" t="s">
        <v>629</v>
      </c>
      <c r="D322" s="67"/>
      <c r="E322" s="3" t="s">
        <v>630</v>
      </c>
      <c r="F322" s="24">
        <v>3.25</v>
      </c>
      <c r="G322" s="24">
        <v>0</v>
      </c>
      <c r="H322" s="24">
        <f>F322*AO322</f>
        <v>0</v>
      </c>
      <c r="I322" s="24">
        <f>F322*AP322</f>
        <v>0</v>
      </c>
      <c r="J322" s="24">
        <f>F322*G322</f>
        <v>0</v>
      </c>
      <c r="K322" s="25" t="s">
        <v>51</v>
      </c>
      <c r="Z322" s="24">
        <f>IF(AQ322="5",BJ322,0)</f>
        <v>0</v>
      </c>
      <c r="AB322" s="24">
        <f>IF(AQ322="1",BH322,0)</f>
        <v>0</v>
      </c>
      <c r="AC322" s="24">
        <f>IF(AQ322="1",BI322,0)</f>
        <v>0</v>
      </c>
      <c r="AD322" s="24">
        <f>IF(AQ322="7",BH322,0)</f>
        <v>0</v>
      </c>
      <c r="AE322" s="24">
        <f>IF(AQ322="7",BI322,0)</f>
        <v>0</v>
      </c>
      <c r="AF322" s="24">
        <f>IF(AQ322="2",BH322,0)</f>
        <v>0</v>
      </c>
      <c r="AG322" s="24">
        <f>IF(AQ322="2",BI322,0)</f>
        <v>0</v>
      </c>
      <c r="AH322" s="24">
        <f>IF(AQ322="0",BJ322,0)</f>
        <v>0</v>
      </c>
      <c r="AI322" s="10" t="s">
        <v>51</v>
      </c>
      <c r="AJ322" s="24">
        <f>IF(AN322=0,J322,0)</f>
        <v>0</v>
      </c>
      <c r="AK322" s="24">
        <f>IF(AN322=12,J322,0)</f>
        <v>0</v>
      </c>
      <c r="AL322" s="24">
        <f>IF(AN322=21,J322,0)</f>
        <v>0</v>
      </c>
      <c r="AN322" s="24">
        <v>21</v>
      </c>
      <c r="AO322" s="24">
        <f>G322*0</f>
        <v>0</v>
      </c>
      <c r="AP322" s="24">
        <f>G322*(1-0)</f>
        <v>0</v>
      </c>
      <c r="AQ322" s="26" t="s">
        <v>54</v>
      </c>
      <c r="AV322" s="24">
        <f>AW322+AX322</f>
        <v>0</v>
      </c>
      <c r="AW322" s="24">
        <f>F322*AO322</f>
        <v>0</v>
      </c>
      <c r="AX322" s="24">
        <f>F322*AP322</f>
        <v>0</v>
      </c>
      <c r="AY322" s="26" t="s">
        <v>631</v>
      </c>
      <c r="AZ322" s="26" t="s">
        <v>58</v>
      </c>
      <c r="BA322" s="10" t="s">
        <v>59</v>
      </c>
      <c r="BC322" s="24">
        <f>AW322+AX322</f>
        <v>0</v>
      </c>
      <c r="BD322" s="24">
        <f>G322/(100-BE322)*100</f>
        <v>0</v>
      </c>
      <c r="BE322" s="24">
        <v>0</v>
      </c>
      <c r="BF322" s="24">
        <f>322</f>
        <v>322</v>
      </c>
      <c r="BH322" s="24">
        <f>F322*AO322</f>
        <v>0</v>
      </c>
      <c r="BI322" s="24">
        <f>F322*AP322</f>
        <v>0</v>
      </c>
      <c r="BJ322" s="24">
        <f>F322*G322</f>
        <v>0</v>
      </c>
      <c r="BK322" s="24"/>
      <c r="BL322" s="24"/>
      <c r="BW322" s="24">
        <v>21</v>
      </c>
      <c r="BX322" s="4" t="s">
        <v>629</v>
      </c>
    </row>
    <row r="323" spans="1:76">
      <c r="A323" s="2" t="s">
        <v>632</v>
      </c>
      <c r="B323" s="3" t="s">
        <v>633</v>
      </c>
      <c r="C323" s="72" t="s">
        <v>634</v>
      </c>
      <c r="D323" s="67"/>
      <c r="E323" s="3" t="s">
        <v>630</v>
      </c>
      <c r="F323" s="24">
        <v>2.35</v>
      </c>
      <c r="G323" s="24">
        <v>0</v>
      </c>
      <c r="H323" s="24">
        <f>F323*AO323</f>
        <v>0</v>
      </c>
      <c r="I323" s="24">
        <f>F323*AP323</f>
        <v>0</v>
      </c>
      <c r="J323" s="24">
        <f>F323*G323</f>
        <v>0</v>
      </c>
      <c r="K323" s="25" t="s">
        <v>51</v>
      </c>
      <c r="Z323" s="24">
        <f>IF(AQ323="5",BJ323,0)</f>
        <v>0</v>
      </c>
      <c r="AB323" s="24">
        <f>IF(AQ323="1",BH323,0)</f>
        <v>0</v>
      </c>
      <c r="AC323" s="24">
        <f>IF(AQ323="1",BI323,0)</f>
        <v>0</v>
      </c>
      <c r="AD323" s="24">
        <f>IF(AQ323="7",BH323,0)</f>
        <v>0</v>
      </c>
      <c r="AE323" s="24">
        <f>IF(AQ323="7",BI323,0)</f>
        <v>0</v>
      </c>
      <c r="AF323" s="24">
        <f>IF(AQ323="2",BH323,0)</f>
        <v>0</v>
      </c>
      <c r="AG323" s="24">
        <f>IF(AQ323="2",BI323,0)</f>
        <v>0</v>
      </c>
      <c r="AH323" s="24">
        <f>IF(AQ323="0",BJ323,0)</f>
        <v>0</v>
      </c>
      <c r="AI323" s="10" t="s">
        <v>51</v>
      </c>
      <c r="AJ323" s="24">
        <f>IF(AN323=0,J323,0)</f>
        <v>0</v>
      </c>
      <c r="AK323" s="24">
        <f>IF(AN323=12,J323,0)</f>
        <v>0</v>
      </c>
      <c r="AL323" s="24">
        <f>IF(AN323=21,J323,0)</f>
        <v>0</v>
      </c>
      <c r="AN323" s="24">
        <v>21</v>
      </c>
      <c r="AO323" s="24">
        <f>G323*0</f>
        <v>0</v>
      </c>
      <c r="AP323" s="24">
        <f>G323*(1-0)</f>
        <v>0</v>
      </c>
      <c r="AQ323" s="26" t="s">
        <v>54</v>
      </c>
      <c r="AV323" s="24">
        <f>AW323+AX323</f>
        <v>0</v>
      </c>
      <c r="AW323" s="24">
        <f>F323*AO323</f>
        <v>0</v>
      </c>
      <c r="AX323" s="24">
        <f>F323*AP323</f>
        <v>0</v>
      </c>
      <c r="AY323" s="26" t="s">
        <v>631</v>
      </c>
      <c r="AZ323" s="26" t="s">
        <v>58</v>
      </c>
      <c r="BA323" s="10" t="s">
        <v>59</v>
      </c>
      <c r="BC323" s="24">
        <f>AW323+AX323</f>
        <v>0</v>
      </c>
      <c r="BD323" s="24">
        <f>G323/(100-BE323)*100</f>
        <v>0</v>
      </c>
      <c r="BE323" s="24">
        <v>0</v>
      </c>
      <c r="BF323" s="24">
        <f>323</f>
        <v>323</v>
      </c>
      <c r="BH323" s="24">
        <f>F323*AO323</f>
        <v>0</v>
      </c>
      <c r="BI323" s="24">
        <f>F323*AP323</f>
        <v>0</v>
      </c>
      <c r="BJ323" s="24">
        <f>F323*G323</f>
        <v>0</v>
      </c>
      <c r="BK323" s="24"/>
      <c r="BL323" s="24"/>
      <c r="BW323" s="24">
        <v>21</v>
      </c>
      <c r="BX323" s="4" t="s">
        <v>634</v>
      </c>
    </row>
    <row r="324" spans="1:76">
      <c r="A324" s="35" t="s">
        <v>635</v>
      </c>
      <c r="B324" s="36" t="s">
        <v>636</v>
      </c>
      <c r="C324" s="90" t="s">
        <v>637</v>
      </c>
      <c r="D324" s="91"/>
      <c r="E324" s="36" t="s">
        <v>630</v>
      </c>
      <c r="F324" s="37">
        <v>1.6</v>
      </c>
      <c r="G324" s="37">
        <v>0</v>
      </c>
      <c r="H324" s="37">
        <f>F324*AO324</f>
        <v>0</v>
      </c>
      <c r="I324" s="37">
        <f>F324*AP324</f>
        <v>0</v>
      </c>
      <c r="J324" s="37">
        <f>F324*G324</f>
        <v>0</v>
      </c>
      <c r="K324" s="38" t="s">
        <v>51</v>
      </c>
      <c r="Z324" s="24">
        <f>IF(AQ324="5",BJ324,0)</f>
        <v>0</v>
      </c>
      <c r="AB324" s="24">
        <f>IF(AQ324="1",BH324,0)</f>
        <v>0</v>
      </c>
      <c r="AC324" s="24">
        <f>IF(AQ324="1",BI324,0)</f>
        <v>0</v>
      </c>
      <c r="AD324" s="24">
        <f>IF(AQ324="7",BH324,0)</f>
        <v>0</v>
      </c>
      <c r="AE324" s="24">
        <f>IF(AQ324="7",BI324,0)</f>
        <v>0</v>
      </c>
      <c r="AF324" s="24">
        <f>IF(AQ324="2",BH324,0)</f>
        <v>0</v>
      </c>
      <c r="AG324" s="24">
        <f>IF(AQ324="2",BI324,0)</f>
        <v>0</v>
      </c>
      <c r="AH324" s="24">
        <f>IF(AQ324="0",BJ324,0)</f>
        <v>0</v>
      </c>
      <c r="AI324" s="10" t="s">
        <v>51</v>
      </c>
      <c r="AJ324" s="24">
        <f>IF(AN324=0,J324,0)</f>
        <v>0</v>
      </c>
      <c r="AK324" s="24">
        <f>IF(AN324=12,J324,0)</f>
        <v>0</v>
      </c>
      <c r="AL324" s="24">
        <f>IF(AN324=21,J324,0)</f>
        <v>0</v>
      </c>
      <c r="AN324" s="24">
        <v>21</v>
      </c>
      <c r="AO324" s="24">
        <f>G324*0</f>
        <v>0</v>
      </c>
      <c r="AP324" s="24">
        <f>G324*(1-0)</f>
        <v>0</v>
      </c>
      <c r="AQ324" s="26" t="s">
        <v>54</v>
      </c>
      <c r="AV324" s="24">
        <f>AW324+AX324</f>
        <v>0</v>
      </c>
      <c r="AW324" s="24">
        <f>F324*AO324</f>
        <v>0</v>
      </c>
      <c r="AX324" s="24">
        <f>F324*AP324</f>
        <v>0</v>
      </c>
      <c r="AY324" s="26" t="s">
        <v>631</v>
      </c>
      <c r="AZ324" s="26" t="s">
        <v>58</v>
      </c>
      <c r="BA324" s="10" t="s">
        <v>59</v>
      </c>
      <c r="BC324" s="24">
        <f>AW324+AX324</f>
        <v>0</v>
      </c>
      <c r="BD324" s="24">
        <f>G324/(100-BE324)*100</f>
        <v>0</v>
      </c>
      <c r="BE324" s="24">
        <v>0</v>
      </c>
      <c r="BF324" s="24">
        <f>324</f>
        <v>324</v>
      </c>
      <c r="BH324" s="24">
        <f>F324*AO324</f>
        <v>0</v>
      </c>
      <c r="BI324" s="24">
        <f>F324*AP324</f>
        <v>0</v>
      </c>
      <c r="BJ324" s="24">
        <f>F324*G324</f>
        <v>0</v>
      </c>
      <c r="BK324" s="24"/>
      <c r="BL324" s="24"/>
      <c r="BW324" s="24">
        <v>21</v>
      </c>
      <c r="BX324" s="4" t="s">
        <v>637</v>
      </c>
    </row>
    <row r="325" spans="1:76">
      <c r="H325" s="92" t="s">
        <v>638</v>
      </c>
      <c r="I325" s="92"/>
      <c r="J325" s="39">
        <f>J12+J17+J26+J43+J58+J83+J104+J124+J127+J136+J141+J146+J149+J158+J161+J165+J168+J184+J189+J202+J209+J244+J262+J267+J274+J277+J281+J288+J291+J294+J297+J303+J306+J321</f>
        <v>0</v>
      </c>
    </row>
    <row r="326" spans="1:76">
      <c r="A326" s="40" t="s">
        <v>639</v>
      </c>
    </row>
    <row r="327" spans="1:76" ht="12.75" customHeight="1">
      <c r="A327" s="72" t="s">
        <v>51</v>
      </c>
      <c r="B327" s="67"/>
      <c r="C327" s="67"/>
      <c r="D327" s="67"/>
      <c r="E327" s="67"/>
      <c r="F327" s="67"/>
      <c r="G327" s="67"/>
      <c r="H327" s="67"/>
      <c r="I327" s="67"/>
      <c r="J327" s="67"/>
      <c r="K327" s="67"/>
    </row>
  </sheetData>
  <mergeCells count="181">
    <mergeCell ref="C322:D322"/>
    <mergeCell ref="C323:D323"/>
    <mergeCell ref="C324:D324"/>
    <mergeCell ref="H325:I325"/>
    <mergeCell ref="A327:K327"/>
    <mergeCell ref="C313:D313"/>
    <mergeCell ref="C315:D315"/>
    <mergeCell ref="C317:D317"/>
    <mergeCell ref="C319:D319"/>
    <mergeCell ref="C321:D321"/>
    <mergeCell ref="C304:D304"/>
    <mergeCell ref="C306:D306"/>
    <mergeCell ref="C307:D307"/>
    <mergeCell ref="C309:D309"/>
    <mergeCell ref="C311:D311"/>
    <mergeCell ref="C297:D297"/>
    <mergeCell ref="C298:D298"/>
    <mergeCell ref="C301:D301"/>
    <mergeCell ref="C302:D302"/>
    <mergeCell ref="C303:D303"/>
    <mergeCell ref="C289:D289"/>
    <mergeCell ref="C291:D291"/>
    <mergeCell ref="C292:D292"/>
    <mergeCell ref="C294:D294"/>
    <mergeCell ref="C295:D295"/>
    <mergeCell ref="C277:D277"/>
    <mergeCell ref="C278:D278"/>
    <mergeCell ref="C281:D281"/>
    <mergeCell ref="C282:D282"/>
    <mergeCell ref="C288:D288"/>
    <mergeCell ref="C268:D268"/>
    <mergeCell ref="C270:D270"/>
    <mergeCell ref="C272:D272"/>
    <mergeCell ref="C274:D274"/>
    <mergeCell ref="C275:D275"/>
    <mergeCell ref="C260:D260"/>
    <mergeCell ref="C262:D262"/>
    <mergeCell ref="C263:D263"/>
    <mergeCell ref="C265:D265"/>
    <mergeCell ref="C267:D267"/>
    <mergeCell ref="C249:D249"/>
    <mergeCell ref="C251:D251"/>
    <mergeCell ref="C253:D253"/>
    <mergeCell ref="C255:D255"/>
    <mergeCell ref="C258:D258"/>
    <mergeCell ref="C242:D242"/>
    <mergeCell ref="C243:D243"/>
    <mergeCell ref="C244:D244"/>
    <mergeCell ref="C245:D245"/>
    <mergeCell ref="C247:D247"/>
    <mergeCell ref="C233:D233"/>
    <mergeCell ref="C234:D234"/>
    <mergeCell ref="C237:D237"/>
    <mergeCell ref="C238:D238"/>
    <mergeCell ref="C239:D239"/>
    <mergeCell ref="C228:D228"/>
    <mergeCell ref="C229:D229"/>
    <mergeCell ref="C230:D230"/>
    <mergeCell ref="C231:D231"/>
    <mergeCell ref="C232:D232"/>
    <mergeCell ref="C216:D216"/>
    <mergeCell ref="C217:D217"/>
    <mergeCell ref="C218:D218"/>
    <mergeCell ref="C219:D219"/>
    <mergeCell ref="C227:D227"/>
    <mergeCell ref="C203:D203"/>
    <mergeCell ref="C207:D207"/>
    <mergeCell ref="C209:D209"/>
    <mergeCell ref="C210:D210"/>
    <mergeCell ref="C215:D215"/>
    <mergeCell ref="C194:D194"/>
    <mergeCell ref="C196:D196"/>
    <mergeCell ref="C198:D198"/>
    <mergeCell ref="C200:D200"/>
    <mergeCell ref="C202:D202"/>
    <mergeCell ref="C184:D184"/>
    <mergeCell ref="C185:D185"/>
    <mergeCell ref="C189:D189"/>
    <mergeCell ref="C190:D190"/>
    <mergeCell ref="C192:D192"/>
    <mergeCell ref="C169:D169"/>
    <mergeCell ref="C173:D173"/>
    <mergeCell ref="C176:D176"/>
    <mergeCell ref="C179:D179"/>
    <mergeCell ref="C181:D181"/>
    <mergeCell ref="C161:D161"/>
    <mergeCell ref="C162:D162"/>
    <mergeCell ref="C165:D165"/>
    <mergeCell ref="C166:D166"/>
    <mergeCell ref="C168:D168"/>
    <mergeCell ref="C149:D149"/>
    <mergeCell ref="C150:D150"/>
    <mergeCell ref="C154:D154"/>
    <mergeCell ref="C158:D158"/>
    <mergeCell ref="C159:D159"/>
    <mergeCell ref="C141:D141"/>
    <mergeCell ref="C142:D142"/>
    <mergeCell ref="C144:D144"/>
    <mergeCell ref="C146:D146"/>
    <mergeCell ref="C147:D147"/>
    <mergeCell ref="C132:D132"/>
    <mergeCell ref="C134:D134"/>
    <mergeCell ref="C136:D136"/>
    <mergeCell ref="C137:D137"/>
    <mergeCell ref="C139:D139"/>
    <mergeCell ref="C124:D124"/>
    <mergeCell ref="C125:D125"/>
    <mergeCell ref="C127:D127"/>
    <mergeCell ref="C128:D128"/>
    <mergeCell ref="C130:D130"/>
    <mergeCell ref="C98:D98"/>
    <mergeCell ref="C100:D100"/>
    <mergeCell ref="C102:D102"/>
    <mergeCell ref="C104:D104"/>
    <mergeCell ref="C105:D105"/>
    <mergeCell ref="C81:D81"/>
    <mergeCell ref="C83:D83"/>
    <mergeCell ref="C84:D84"/>
    <mergeCell ref="C90:D90"/>
    <mergeCell ref="C94:D94"/>
    <mergeCell ref="C68:D68"/>
    <mergeCell ref="C70:D70"/>
    <mergeCell ref="C73:D73"/>
    <mergeCell ref="C75:D75"/>
    <mergeCell ref="C79:D79"/>
    <mergeCell ref="C56:D56"/>
    <mergeCell ref="C58:D58"/>
    <mergeCell ref="C59:D59"/>
    <mergeCell ref="C62:D62"/>
    <mergeCell ref="C65:D65"/>
    <mergeCell ref="C46:D46"/>
    <mergeCell ref="C48:D48"/>
    <mergeCell ref="C50:D50"/>
    <mergeCell ref="C52:D52"/>
    <mergeCell ref="C54:D54"/>
    <mergeCell ref="C35:D35"/>
    <mergeCell ref="C37:D37"/>
    <mergeCell ref="C39:D39"/>
    <mergeCell ref="C43:D43"/>
    <mergeCell ref="C44:D44"/>
    <mergeCell ref="C26:D26"/>
    <mergeCell ref="C27:D27"/>
    <mergeCell ref="C29:D29"/>
    <mergeCell ref="C31:D31"/>
    <mergeCell ref="C33:D33"/>
    <mergeCell ref="C17:D17"/>
    <mergeCell ref="C18:D18"/>
    <mergeCell ref="C20:D20"/>
    <mergeCell ref="C22:D22"/>
    <mergeCell ref="C24:D24"/>
    <mergeCell ref="C11:D11"/>
    <mergeCell ref="H10:J10"/>
    <mergeCell ref="C12:D12"/>
    <mergeCell ref="C13:D13"/>
    <mergeCell ref="C15:D15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93" t="s">
        <v>640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5"/>
      <c r="C2" s="73" t="str">
        <f>'Stavební rozpočet'!C2</f>
        <v>NOVÁ PŘÍPOJKA TERMÁLNÍ VODY PRO AQUACENTRUM TEPLICE</v>
      </c>
      <c r="D2" s="74"/>
      <c r="E2" s="71" t="s">
        <v>5</v>
      </c>
      <c r="F2" s="71" t="str">
        <f>'Stavební rozpočet'!I2</f>
        <v>AQUACENTRUM p.o., TEPLICE</v>
      </c>
      <c r="G2" s="65"/>
      <c r="H2" s="71" t="s">
        <v>641</v>
      </c>
      <c r="I2" s="76" t="s">
        <v>51</v>
      </c>
    </row>
    <row r="3" spans="1:9" ht="15" customHeight="1">
      <c r="A3" s="66"/>
      <c r="B3" s="67"/>
      <c r="C3" s="75"/>
      <c r="D3" s="75"/>
      <c r="E3" s="67"/>
      <c r="F3" s="67"/>
      <c r="G3" s="67"/>
      <c r="H3" s="67"/>
      <c r="I3" s="77"/>
    </row>
    <row r="4" spans="1:9">
      <c r="A4" s="68" t="s">
        <v>7</v>
      </c>
      <c r="B4" s="67"/>
      <c r="C4" s="72" t="str">
        <f>'Stavební rozpočet'!C4</f>
        <v>SO 01 - OTV z LDB do ČS</v>
      </c>
      <c r="D4" s="67"/>
      <c r="E4" s="72" t="s">
        <v>10</v>
      </c>
      <c r="F4" s="72" t="str">
        <f>'Stavební rozpočet'!I4</f>
        <v>CHEMINVEST</v>
      </c>
      <c r="G4" s="67"/>
      <c r="H4" s="72" t="s">
        <v>641</v>
      </c>
      <c r="I4" s="77" t="s">
        <v>51</v>
      </c>
    </row>
    <row r="5" spans="1:9" ht="15" customHeight="1">
      <c r="A5" s="66"/>
      <c r="B5" s="67"/>
      <c r="C5" s="67"/>
      <c r="D5" s="67"/>
      <c r="E5" s="67"/>
      <c r="F5" s="67"/>
      <c r="G5" s="67"/>
      <c r="H5" s="67"/>
      <c r="I5" s="77"/>
    </row>
    <row r="6" spans="1:9">
      <c r="A6" s="68" t="s">
        <v>12</v>
      </c>
      <c r="B6" s="67"/>
      <c r="C6" s="72" t="str">
        <f>'Stavební rozpočet'!C6</f>
        <v>AQUACENTRUM TEPLICE</v>
      </c>
      <c r="D6" s="67"/>
      <c r="E6" s="72" t="s">
        <v>15</v>
      </c>
      <c r="F6" s="72" t="str">
        <f>'Stavební rozpočet'!I6</f>
        <v> </v>
      </c>
      <c r="G6" s="67"/>
      <c r="H6" s="72" t="s">
        <v>641</v>
      </c>
      <c r="I6" s="77" t="s">
        <v>51</v>
      </c>
    </row>
    <row r="7" spans="1:9" ht="15" customHeight="1">
      <c r="A7" s="66"/>
      <c r="B7" s="67"/>
      <c r="C7" s="67"/>
      <c r="D7" s="67"/>
      <c r="E7" s="67"/>
      <c r="F7" s="67"/>
      <c r="G7" s="67"/>
      <c r="H7" s="67"/>
      <c r="I7" s="77"/>
    </row>
    <row r="8" spans="1:9">
      <c r="A8" s="68" t="s">
        <v>9</v>
      </c>
      <c r="B8" s="67"/>
      <c r="C8" s="72" t="str">
        <f>'Stavební rozpočet'!G4</f>
        <v xml:space="preserve"> </v>
      </c>
      <c r="D8" s="67"/>
      <c r="E8" s="72" t="s">
        <v>14</v>
      </c>
      <c r="F8" s="72" t="str">
        <f>'Stavební rozpočet'!G6</f>
        <v xml:space="preserve"> </v>
      </c>
      <c r="G8" s="67"/>
      <c r="H8" s="67" t="s">
        <v>642</v>
      </c>
      <c r="I8" s="95">
        <v>117</v>
      </c>
    </row>
    <row r="9" spans="1:9">
      <c r="A9" s="66"/>
      <c r="B9" s="67"/>
      <c r="C9" s="67"/>
      <c r="D9" s="67"/>
      <c r="E9" s="67"/>
      <c r="F9" s="67"/>
      <c r="G9" s="67"/>
      <c r="H9" s="67"/>
      <c r="I9" s="77"/>
    </row>
    <row r="10" spans="1:9">
      <c r="A10" s="68" t="s">
        <v>17</v>
      </c>
      <c r="B10" s="67"/>
      <c r="C10" s="72" t="str">
        <f>'Stavební rozpočet'!C8</f>
        <v xml:space="preserve"> </v>
      </c>
      <c r="D10" s="67"/>
      <c r="E10" s="72" t="s">
        <v>20</v>
      </c>
      <c r="F10" s="72" t="str">
        <f>'Stavební rozpočet'!I8</f>
        <v>Kamila Možná</v>
      </c>
      <c r="G10" s="67"/>
      <c r="H10" s="67" t="s">
        <v>643</v>
      </c>
      <c r="I10" s="96" t="str">
        <f>'Stavební rozpočet'!G8</f>
        <v>29.08.2024</v>
      </c>
    </row>
    <row r="11" spans="1:9">
      <c r="A11" s="94"/>
      <c r="B11" s="91"/>
      <c r="C11" s="91"/>
      <c r="D11" s="91"/>
      <c r="E11" s="91"/>
      <c r="F11" s="91"/>
      <c r="G11" s="91"/>
      <c r="H11" s="91"/>
      <c r="I11" s="97"/>
    </row>
    <row r="12" spans="1:9" ht="23.25">
      <c r="A12" s="98" t="s">
        <v>644</v>
      </c>
      <c r="B12" s="98"/>
      <c r="C12" s="98"/>
      <c r="D12" s="98"/>
      <c r="E12" s="98"/>
      <c r="F12" s="98"/>
      <c r="G12" s="98"/>
      <c r="H12" s="98"/>
      <c r="I12" s="98"/>
    </row>
    <row r="13" spans="1:9" ht="26.25" customHeight="1">
      <c r="A13" s="41" t="s">
        <v>645</v>
      </c>
      <c r="B13" s="99" t="s">
        <v>646</v>
      </c>
      <c r="C13" s="100"/>
      <c r="D13" s="42" t="s">
        <v>647</v>
      </c>
      <c r="E13" s="99" t="s">
        <v>648</v>
      </c>
      <c r="F13" s="100"/>
      <c r="G13" s="42" t="s">
        <v>649</v>
      </c>
      <c r="H13" s="99" t="s">
        <v>650</v>
      </c>
      <c r="I13" s="100"/>
    </row>
    <row r="14" spans="1:9" ht="15.75">
      <c r="A14" s="43" t="s">
        <v>651</v>
      </c>
      <c r="B14" s="44" t="s">
        <v>652</v>
      </c>
      <c r="C14" s="45">
        <f>SUM('Stavební rozpočet'!AB12:AB324)</f>
        <v>0</v>
      </c>
      <c r="D14" s="107" t="s">
        <v>653</v>
      </c>
      <c r="E14" s="108"/>
      <c r="F14" s="45">
        <f>VORN!I15</f>
        <v>0</v>
      </c>
      <c r="G14" s="107" t="s">
        <v>629</v>
      </c>
      <c r="H14" s="108"/>
      <c r="I14" s="46">
        <f>VORN!I21</f>
        <v>0</v>
      </c>
    </row>
    <row r="15" spans="1:9" ht="15.75">
      <c r="A15" s="47" t="s">
        <v>51</v>
      </c>
      <c r="B15" s="44" t="s">
        <v>36</v>
      </c>
      <c r="C15" s="45">
        <f>SUM('Stavební rozpočet'!AC12:AC324)</f>
        <v>0</v>
      </c>
      <c r="D15" s="107" t="s">
        <v>654</v>
      </c>
      <c r="E15" s="108"/>
      <c r="F15" s="45">
        <f>VORN!I16</f>
        <v>0</v>
      </c>
      <c r="G15" s="107" t="s">
        <v>655</v>
      </c>
      <c r="H15" s="108"/>
      <c r="I15" s="46">
        <f>VORN!I22</f>
        <v>0</v>
      </c>
    </row>
    <row r="16" spans="1:9" ht="15.75">
      <c r="A16" s="43" t="s">
        <v>656</v>
      </c>
      <c r="B16" s="44" t="s">
        <v>652</v>
      </c>
      <c r="C16" s="45">
        <f>SUM('Stavební rozpočet'!AD12:AD324)</f>
        <v>0</v>
      </c>
      <c r="D16" s="107" t="s">
        <v>657</v>
      </c>
      <c r="E16" s="108"/>
      <c r="F16" s="45">
        <f>VORN!I17</f>
        <v>0</v>
      </c>
      <c r="G16" s="107" t="s">
        <v>634</v>
      </c>
      <c r="H16" s="108"/>
      <c r="I16" s="46">
        <f>VORN!I23</f>
        <v>0</v>
      </c>
    </row>
    <row r="17" spans="1:9" ht="15.75">
      <c r="A17" s="47" t="s">
        <v>51</v>
      </c>
      <c r="B17" s="44" t="s">
        <v>36</v>
      </c>
      <c r="C17" s="45">
        <f>SUM('Stavební rozpočet'!AE12:AE324)</f>
        <v>0</v>
      </c>
      <c r="D17" s="107" t="s">
        <v>51</v>
      </c>
      <c r="E17" s="108"/>
      <c r="F17" s="46" t="s">
        <v>51</v>
      </c>
      <c r="G17" s="107" t="s">
        <v>637</v>
      </c>
      <c r="H17" s="108"/>
      <c r="I17" s="46">
        <f>VORN!I24</f>
        <v>0</v>
      </c>
    </row>
    <row r="18" spans="1:9" ht="15.75">
      <c r="A18" s="43" t="s">
        <v>658</v>
      </c>
      <c r="B18" s="44" t="s">
        <v>652</v>
      </c>
      <c r="C18" s="45">
        <f>SUM('Stavební rozpočet'!AF12:AF324)</f>
        <v>0</v>
      </c>
      <c r="D18" s="107" t="s">
        <v>51</v>
      </c>
      <c r="E18" s="108"/>
      <c r="F18" s="46" t="s">
        <v>51</v>
      </c>
      <c r="G18" s="107" t="s">
        <v>659</v>
      </c>
      <c r="H18" s="108"/>
      <c r="I18" s="46">
        <f>VORN!I25</f>
        <v>0</v>
      </c>
    </row>
    <row r="19" spans="1:9" ht="15.75">
      <c r="A19" s="47" t="s">
        <v>51</v>
      </c>
      <c r="B19" s="44" t="s">
        <v>36</v>
      </c>
      <c r="C19" s="45">
        <f>SUM('Stavební rozpočet'!AG12:AG324)</f>
        <v>0</v>
      </c>
      <c r="D19" s="107" t="s">
        <v>51</v>
      </c>
      <c r="E19" s="108"/>
      <c r="F19" s="46" t="s">
        <v>51</v>
      </c>
      <c r="G19" s="107" t="s">
        <v>660</v>
      </c>
      <c r="H19" s="108"/>
      <c r="I19" s="46">
        <f>VORN!I26</f>
        <v>0</v>
      </c>
    </row>
    <row r="20" spans="1:9" ht="15.75">
      <c r="A20" s="101" t="s">
        <v>661</v>
      </c>
      <c r="B20" s="102"/>
      <c r="C20" s="45">
        <f>SUM('Stavební rozpočet'!AH12:AH324)</f>
        <v>0</v>
      </c>
      <c r="D20" s="107" t="s">
        <v>51</v>
      </c>
      <c r="E20" s="108"/>
      <c r="F20" s="46" t="s">
        <v>51</v>
      </c>
      <c r="G20" s="107" t="s">
        <v>51</v>
      </c>
      <c r="H20" s="108"/>
      <c r="I20" s="46" t="s">
        <v>51</v>
      </c>
    </row>
    <row r="21" spans="1:9" ht="15.75">
      <c r="A21" s="103" t="s">
        <v>662</v>
      </c>
      <c r="B21" s="104"/>
      <c r="C21" s="48">
        <f>SUM('Stavební rozpočet'!Z12:Z324)</f>
        <v>0</v>
      </c>
      <c r="D21" s="109" t="s">
        <v>51</v>
      </c>
      <c r="E21" s="110"/>
      <c r="F21" s="49" t="s">
        <v>51</v>
      </c>
      <c r="G21" s="109" t="s">
        <v>51</v>
      </c>
      <c r="H21" s="110"/>
      <c r="I21" s="49" t="s">
        <v>51</v>
      </c>
    </row>
    <row r="22" spans="1:9" ht="16.5" customHeight="1">
      <c r="A22" s="105" t="s">
        <v>663</v>
      </c>
      <c r="B22" s="106"/>
      <c r="C22" s="50">
        <f>SUM(C14:C21)</f>
        <v>0</v>
      </c>
      <c r="D22" s="111" t="s">
        <v>664</v>
      </c>
      <c r="E22" s="106"/>
      <c r="F22" s="50">
        <f>SUM(F14:F21)</f>
        <v>0</v>
      </c>
      <c r="G22" s="111" t="s">
        <v>665</v>
      </c>
      <c r="H22" s="106"/>
      <c r="I22" s="50">
        <f>SUM(I14:I21)</f>
        <v>0</v>
      </c>
    </row>
    <row r="23" spans="1:9" ht="15.75">
      <c r="D23" s="101" t="s">
        <v>666</v>
      </c>
      <c r="E23" s="102"/>
      <c r="F23" s="51">
        <v>0</v>
      </c>
      <c r="G23" s="112" t="s">
        <v>667</v>
      </c>
      <c r="H23" s="102"/>
      <c r="I23" s="45">
        <v>0</v>
      </c>
    </row>
    <row r="24" spans="1:9" ht="15.75">
      <c r="G24" s="101" t="s">
        <v>668</v>
      </c>
      <c r="H24" s="102"/>
      <c r="I24" s="48">
        <f>vorn_sum</f>
        <v>0</v>
      </c>
    </row>
    <row r="25" spans="1:9" ht="15.75">
      <c r="G25" s="101" t="s">
        <v>669</v>
      </c>
      <c r="H25" s="102"/>
      <c r="I25" s="50">
        <v>0</v>
      </c>
    </row>
    <row r="27" spans="1:9" ht="15.75">
      <c r="A27" s="113" t="s">
        <v>670</v>
      </c>
      <c r="B27" s="114"/>
      <c r="C27" s="52">
        <f>SUM('Stavební rozpočet'!AJ12:AJ324)</f>
        <v>0</v>
      </c>
    </row>
    <row r="28" spans="1:9" ht="15.75">
      <c r="A28" s="115" t="s">
        <v>671</v>
      </c>
      <c r="B28" s="116"/>
      <c r="C28" s="53">
        <f>SUM('Stavební rozpočet'!AK12:AK324)</f>
        <v>0</v>
      </c>
      <c r="D28" s="117" t="s">
        <v>672</v>
      </c>
      <c r="E28" s="114"/>
      <c r="F28" s="52">
        <f>ROUND(C28*(12/100),2)</f>
        <v>0</v>
      </c>
      <c r="G28" s="117" t="s">
        <v>673</v>
      </c>
      <c r="H28" s="114"/>
      <c r="I28" s="52">
        <f>SUM(C27:C29)</f>
        <v>0</v>
      </c>
    </row>
    <row r="29" spans="1:9" ht="15.75">
      <c r="A29" s="115" t="s">
        <v>674</v>
      </c>
      <c r="B29" s="116"/>
      <c r="C29" s="53">
        <f>SUM('Stavební rozpočet'!AL12:AL324)+(F22+I22+F23+I23+I24+I25)</f>
        <v>0</v>
      </c>
      <c r="D29" s="118" t="s">
        <v>675</v>
      </c>
      <c r="E29" s="116"/>
      <c r="F29" s="53">
        <f>ROUND(C29*(21/100),2)</f>
        <v>0</v>
      </c>
      <c r="G29" s="118" t="s">
        <v>676</v>
      </c>
      <c r="H29" s="116"/>
      <c r="I29" s="53">
        <f>SUM(F28:F29)+I28</f>
        <v>0</v>
      </c>
    </row>
    <row r="31" spans="1:9">
      <c r="A31" s="119" t="s">
        <v>677</v>
      </c>
      <c r="B31" s="120"/>
      <c r="C31" s="121"/>
      <c r="D31" s="128" t="s">
        <v>678</v>
      </c>
      <c r="E31" s="120"/>
      <c r="F31" s="121"/>
      <c r="G31" s="128" t="s">
        <v>679</v>
      </c>
      <c r="H31" s="120"/>
      <c r="I31" s="121"/>
    </row>
    <row r="32" spans="1:9">
      <c r="A32" s="122" t="s">
        <v>51</v>
      </c>
      <c r="B32" s="123"/>
      <c r="C32" s="124"/>
      <c r="D32" s="129" t="s">
        <v>51</v>
      </c>
      <c r="E32" s="123"/>
      <c r="F32" s="124"/>
      <c r="G32" s="129" t="s">
        <v>51</v>
      </c>
      <c r="H32" s="123"/>
      <c r="I32" s="124"/>
    </row>
    <row r="33" spans="1:9">
      <c r="A33" s="122" t="s">
        <v>51</v>
      </c>
      <c r="B33" s="123"/>
      <c r="C33" s="124"/>
      <c r="D33" s="129" t="s">
        <v>51</v>
      </c>
      <c r="E33" s="123"/>
      <c r="F33" s="124"/>
      <c r="G33" s="129" t="s">
        <v>51</v>
      </c>
      <c r="H33" s="123"/>
      <c r="I33" s="124"/>
    </row>
    <row r="34" spans="1:9">
      <c r="A34" s="122" t="s">
        <v>51</v>
      </c>
      <c r="B34" s="123"/>
      <c r="C34" s="124"/>
      <c r="D34" s="129" t="s">
        <v>51</v>
      </c>
      <c r="E34" s="123"/>
      <c r="F34" s="124"/>
      <c r="G34" s="129" t="s">
        <v>51</v>
      </c>
      <c r="H34" s="123"/>
      <c r="I34" s="124"/>
    </row>
    <row r="35" spans="1:9">
      <c r="A35" s="125" t="s">
        <v>680</v>
      </c>
      <c r="B35" s="126"/>
      <c r="C35" s="127"/>
      <c r="D35" s="130" t="s">
        <v>680</v>
      </c>
      <c r="E35" s="126"/>
      <c r="F35" s="127"/>
      <c r="G35" s="130" t="s">
        <v>680</v>
      </c>
      <c r="H35" s="126"/>
      <c r="I35" s="127"/>
    </row>
    <row r="36" spans="1:9">
      <c r="A36" s="54" t="s">
        <v>639</v>
      </c>
    </row>
    <row r="37" spans="1:9" ht="12.75" customHeight="1">
      <c r="A37" s="72" t="s">
        <v>51</v>
      </c>
      <c r="B37" s="67"/>
      <c r="C37" s="67"/>
      <c r="D37" s="67"/>
      <c r="E37" s="67"/>
      <c r="F37" s="67"/>
      <c r="G37" s="67"/>
      <c r="H37" s="67"/>
      <c r="I37" s="67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93" t="s">
        <v>681</v>
      </c>
      <c r="B1" s="63"/>
      <c r="C1" s="63"/>
      <c r="D1" s="63"/>
      <c r="E1" s="63"/>
      <c r="F1" s="63"/>
      <c r="G1" s="63"/>
      <c r="H1" s="63"/>
      <c r="I1" s="63"/>
    </row>
    <row r="2" spans="1:9">
      <c r="A2" s="64" t="s">
        <v>1</v>
      </c>
      <c r="B2" s="65"/>
      <c r="C2" s="73" t="str">
        <f>'Stavební rozpočet'!C2</f>
        <v>NOVÁ PŘÍPOJKA TERMÁLNÍ VODY PRO AQUACENTRUM TEPLICE</v>
      </c>
      <c r="D2" s="74"/>
      <c r="E2" s="71" t="s">
        <v>5</v>
      </c>
      <c r="F2" s="71" t="str">
        <f>'Stavební rozpočet'!I2</f>
        <v>AQUACENTRUM p.o., TEPLICE</v>
      </c>
      <c r="G2" s="65"/>
      <c r="H2" s="71" t="s">
        <v>641</v>
      </c>
      <c r="I2" s="76" t="s">
        <v>51</v>
      </c>
    </row>
    <row r="3" spans="1:9" ht="15" customHeight="1">
      <c r="A3" s="66"/>
      <c r="B3" s="67"/>
      <c r="C3" s="75"/>
      <c r="D3" s="75"/>
      <c r="E3" s="67"/>
      <c r="F3" s="67"/>
      <c r="G3" s="67"/>
      <c r="H3" s="67"/>
      <c r="I3" s="77"/>
    </row>
    <row r="4" spans="1:9">
      <c r="A4" s="68" t="s">
        <v>7</v>
      </c>
      <c r="B4" s="67"/>
      <c r="C4" s="72" t="str">
        <f>'Stavební rozpočet'!C4</f>
        <v>SO 01 - OTV z LDB do ČS</v>
      </c>
      <c r="D4" s="67"/>
      <c r="E4" s="72" t="s">
        <v>10</v>
      </c>
      <c r="F4" s="72" t="str">
        <f>'Stavební rozpočet'!I4</f>
        <v>CHEMINVEST</v>
      </c>
      <c r="G4" s="67"/>
      <c r="H4" s="72" t="s">
        <v>641</v>
      </c>
      <c r="I4" s="77" t="s">
        <v>51</v>
      </c>
    </row>
    <row r="5" spans="1:9" ht="15" customHeight="1">
      <c r="A5" s="66"/>
      <c r="B5" s="67"/>
      <c r="C5" s="67"/>
      <c r="D5" s="67"/>
      <c r="E5" s="67"/>
      <c r="F5" s="67"/>
      <c r="G5" s="67"/>
      <c r="H5" s="67"/>
      <c r="I5" s="77"/>
    </row>
    <row r="6" spans="1:9">
      <c r="A6" s="68" t="s">
        <v>12</v>
      </c>
      <c r="B6" s="67"/>
      <c r="C6" s="72" t="str">
        <f>'Stavební rozpočet'!C6</f>
        <v>AQUACENTRUM TEPLICE</v>
      </c>
      <c r="D6" s="67"/>
      <c r="E6" s="72" t="s">
        <v>15</v>
      </c>
      <c r="F6" s="72" t="str">
        <f>'Stavební rozpočet'!I6</f>
        <v> </v>
      </c>
      <c r="G6" s="67"/>
      <c r="H6" s="72" t="s">
        <v>641</v>
      </c>
      <c r="I6" s="77" t="s">
        <v>51</v>
      </c>
    </row>
    <row r="7" spans="1:9" ht="15" customHeight="1">
      <c r="A7" s="66"/>
      <c r="B7" s="67"/>
      <c r="C7" s="67"/>
      <c r="D7" s="67"/>
      <c r="E7" s="67"/>
      <c r="F7" s="67"/>
      <c r="G7" s="67"/>
      <c r="H7" s="67"/>
      <c r="I7" s="77"/>
    </row>
    <row r="8" spans="1:9">
      <c r="A8" s="68" t="s">
        <v>9</v>
      </c>
      <c r="B8" s="67"/>
      <c r="C8" s="72" t="str">
        <f>'Stavební rozpočet'!G4</f>
        <v xml:space="preserve"> </v>
      </c>
      <c r="D8" s="67"/>
      <c r="E8" s="72" t="s">
        <v>14</v>
      </c>
      <c r="F8" s="72" t="str">
        <f>'Stavební rozpočet'!G6</f>
        <v xml:space="preserve"> </v>
      </c>
      <c r="G8" s="67"/>
      <c r="H8" s="67" t="s">
        <v>642</v>
      </c>
      <c r="I8" s="95">
        <v>117</v>
      </c>
    </row>
    <row r="9" spans="1:9">
      <c r="A9" s="66"/>
      <c r="B9" s="67"/>
      <c r="C9" s="67"/>
      <c r="D9" s="67"/>
      <c r="E9" s="67"/>
      <c r="F9" s="67"/>
      <c r="G9" s="67"/>
      <c r="H9" s="67"/>
      <c r="I9" s="77"/>
    </row>
    <row r="10" spans="1:9">
      <c r="A10" s="68" t="s">
        <v>17</v>
      </c>
      <c r="B10" s="67"/>
      <c r="C10" s="72" t="str">
        <f>'Stavební rozpočet'!C8</f>
        <v xml:space="preserve"> </v>
      </c>
      <c r="D10" s="67"/>
      <c r="E10" s="72" t="s">
        <v>20</v>
      </c>
      <c r="F10" s="72" t="str">
        <f>'Stavební rozpočet'!I8</f>
        <v>Kamila Možná</v>
      </c>
      <c r="G10" s="67"/>
      <c r="H10" s="67" t="s">
        <v>643</v>
      </c>
      <c r="I10" s="96" t="str">
        <f>'Stavební rozpočet'!G8</f>
        <v>29.08.2024</v>
      </c>
    </row>
    <row r="11" spans="1:9">
      <c r="A11" s="94"/>
      <c r="B11" s="91"/>
      <c r="C11" s="91"/>
      <c r="D11" s="91"/>
      <c r="E11" s="91"/>
      <c r="F11" s="91"/>
      <c r="G11" s="91"/>
      <c r="H11" s="91"/>
      <c r="I11" s="97"/>
    </row>
    <row r="13" spans="1:9" ht="15.75">
      <c r="A13" s="131" t="s">
        <v>682</v>
      </c>
      <c r="B13" s="131"/>
      <c r="C13" s="131"/>
      <c r="D13" s="131"/>
      <c r="E13" s="131"/>
    </row>
    <row r="14" spans="1:9">
      <c r="A14" s="132" t="s">
        <v>683</v>
      </c>
      <c r="B14" s="133"/>
      <c r="C14" s="133"/>
      <c r="D14" s="133"/>
      <c r="E14" s="134"/>
      <c r="F14" s="55" t="s">
        <v>684</v>
      </c>
      <c r="G14" s="55" t="s">
        <v>630</v>
      </c>
      <c r="H14" s="55" t="s">
        <v>685</v>
      </c>
      <c r="I14" s="55" t="s">
        <v>684</v>
      </c>
    </row>
    <row r="15" spans="1:9">
      <c r="A15" s="135" t="s">
        <v>653</v>
      </c>
      <c r="B15" s="136"/>
      <c r="C15" s="136"/>
      <c r="D15" s="136"/>
      <c r="E15" s="137"/>
      <c r="F15" s="56">
        <v>0</v>
      </c>
      <c r="G15" s="57" t="s">
        <v>51</v>
      </c>
      <c r="H15" s="57" t="s">
        <v>51</v>
      </c>
      <c r="I15" s="56">
        <f>F15</f>
        <v>0</v>
      </c>
    </row>
    <row r="16" spans="1:9">
      <c r="A16" s="135" t="s">
        <v>654</v>
      </c>
      <c r="B16" s="136"/>
      <c r="C16" s="136"/>
      <c r="D16" s="136"/>
      <c r="E16" s="137"/>
      <c r="F16" s="56">
        <v>0</v>
      </c>
      <c r="G16" s="57" t="s">
        <v>51</v>
      </c>
      <c r="H16" s="57" t="s">
        <v>51</v>
      </c>
      <c r="I16" s="56">
        <f>F16</f>
        <v>0</v>
      </c>
    </row>
    <row r="17" spans="1:9">
      <c r="A17" s="138" t="s">
        <v>657</v>
      </c>
      <c r="B17" s="139"/>
      <c r="C17" s="139"/>
      <c r="D17" s="139"/>
      <c r="E17" s="140"/>
      <c r="F17" s="58">
        <v>0</v>
      </c>
      <c r="G17" s="59" t="s">
        <v>51</v>
      </c>
      <c r="H17" s="59" t="s">
        <v>51</v>
      </c>
      <c r="I17" s="58">
        <f>F17</f>
        <v>0</v>
      </c>
    </row>
    <row r="18" spans="1:9">
      <c r="A18" s="141" t="s">
        <v>686</v>
      </c>
      <c r="B18" s="142"/>
      <c r="C18" s="142"/>
      <c r="D18" s="142"/>
      <c r="E18" s="143"/>
      <c r="F18" s="60" t="s">
        <v>51</v>
      </c>
      <c r="G18" s="61" t="s">
        <v>51</v>
      </c>
      <c r="H18" s="61" t="s">
        <v>51</v>
      </c>
      <c r="I18" s="62">
        <f>SUM(I15:I17)</f>
        <v>0</v>
      </c>
    </row>
    <row r="20" spans="1:9">
      <c r="A20" s="132" t="s">
        <v>650</v>
      </c>
      <c r="B20" s="133"/>
      <c r="C20" s="133"/>
      <c r="D20" s="133"/>
      <c r="E20" s="134"/>
      <c r="F20" s="55" t="s">
        <v>684</v>
      </c>
      <c r="G20" s="55" t="s">
        <v>630</v>
      </c>
      <c r="H20" s="55" t="s">
        <v>685</v>
      </c>
      <c r="I20" s="55" t="s">
        <v>684</v>
      </c>
    </row>
    <row r="21" spans="1:9">
      <c r="A21" s="135" t="s">
        <v>629</v>
      </c>
      <c r="B21" s="136"/>
      <c r="C21" s="136"/>
      <c r="D21" s="136"/>
      <c r="E21" s="137"/>
      <c r="F21" s="56">
        <v>0</v>
      </c>
      <c r="G21" s="57" t="s">
        <v>51</v>
      </c>
      <c r="H21" s="57" t="s">
        <v>51</v>
      </c>
      <c r="I21" s="56">
        <f t="shared" ref="I21:I26" si="0">F21</f>
        <v>0</v>
      </c>
    </row>
    <row r="22" spans="1:9">
      <c r="A22" s="135" t="s">
        <v>655</v>
      </c>
      <c r="B22" s="136"/>
      <c r="C22" s="136"/>
      <c r="D22" s="136"/>
      <c r="E22" s="137"/>
      <c r="F22" s="56">
        <v>0</v>
      </c>
      <c r="G22" s="57" t="s">
        <v>51</v>
      </c>
      <c r="H22" s="57" t="s">
        <v>51</v>
      </c>
      <c r="I22" s="56">
        <f t="shared" si="0"/>
        <v>0</v>
      </c>
    </row>
    <row r="23" spans="1:9">
      <c r="A23" s="135" t="s">
        <v>634</v>
      </c>
      <c r="B23" s="136"/>
      <c r="C23" s="136"/>
      <c r="D23" s="136"/>
      <c r="E23" s="137"/>
      <c r="F23" s="56">
        <v>0</v>
      </c>
      <c r="G23" s="57" t="s">
        <v>51</v>
      </c>
      <c r="H23" s="57" t="s">
        <v>51</v>
      </c>
      <c r="I23" s="56">
        <f t="shared" si="0"/>
        <v>0</v>
      </c>
    </row>
    <row r="24" spans="1:9">
      <c r="A24" s="135" t="s">
        <v>637</v>
      </c>
      <c r="B24" s="136"/>
      <c r="C24" s="136"/>
      <c r="D24" s="136"/>
      <c r="E24" s="137"/>
      <c r="F24" s="56">
        <v>0</v>
      </c>
      <c r="G24" s="57" t="s">
        <v>51</v>
      </c>
      <c r="H24" s="57" t="s">
        <v>51</v>
      </c>
      <c r="I24" s="56">
        <f t="shared" si="0"/>
        <v>0</v>
      </c>
    </row>
    <row r="25" spans="1:9">
      <c r="A25" s="135" t="s">
        <v>659</v>
      </c>
      <c r="B25" s="136"/>
      <c r="C25" s="136"/>
      <c r="D25" s="136"/>
      <c r="E25" s="137"/>
      <c r="F25" s="56">
        <v>0</v>
      </c>
      <c r="G25" s="57" t="s">
        <v>51</v>
      </c>
      <c r="H25" s="57" t="s">
        <v>51</v>
      </c>
      <c r="I25" s="56">
        <f t="shared" si="0"/>
        <v>0</v>
      </c>
    </row>
    <row r="26" spans="1:9">
      <c r="A26" s="138" t="s">
        <v>660</v>
      </c>
      <c r="B26" s="139"/>
      <c r="C26" s="139"/>
      <c r="D26" s="139"/>
      <c r="E26" s="140"/>
      <c r="F26" s="58">
        <v>0</v>
      </c>
      <c r="G26" s="59" t="s">
        <v>51</v>
      </c>
      <c r="H26" s="59" t="s">
        <v>51</v>
      </c>
      <c r="I26" s="58">
        <f t="shared" si="0"/>
        <v>0</v>
      </c>
    </row>
    <row r="27" spans="1:9">
      <c r="A27" s="141" t="s">
        <v>687</v>
      </c>
      <c r="B27" s="142"/>
      <c r="C27" s="142"/>
      <c r="D27" s="142"/>
      <c r="E27" s="143"/>
      <c r="F27" s="60" t="s">
        <v>51</v>
      </c>
      <c r="G27" s="61" t="s">
        <v>51</v>
      </c>
      <c r="H27" s="61" t="s">
        <v>51</v>
      </c>
      <c r="I27" s="62">
        <f>SUM(I21:I26)</f>
        <v>0</v>
      </c>
    </row>
    <row r="29" spans="1:9" ht="15.75">
      <c r="A29" s="144" t="s">
        <v>688</v>
      </c>
      <c r="B29" s="145"/>
      <c r="C29" s="145"/>
      <c r="D29" s="145"/>
      <c r="E29" s="146"/>
      <c r="F29" s="147">
        <f>I18+I27</f>
        <v>0</v>
      </c>
      <c r="G29" s="148"/>
      <c r="H29" s="148"/>
      <c r="I29" s="149"/>
    </row>
    <row r="33" spans="1:9" ht="15.75">
      <c r="A33" s="131" t="s">
        <v>689</v>
      </c>
      <c r="B33" s="131"/>
      <c r="C33" s="131"/>
      <c r="D33" s="131"/>
      <c r="E33" s="131"/>
    </row>
    <row r="34" spans="1:9">
      <c r="A34" s="132" t="s">
        <v>690</v>
      </c>
      <c r="B34" s="133"/>
      <c r="C34" s="133"/>
      <c r="D34" s="133"/>
      <c r="E34" s="134"/>
      <c r="F34" s="55" t="s">
        <v>684</v>
      </c>
      <c r="G34" s="55" t="s">
        <v>630</v>
      </c>
      <c r="H34" s="55" t="s">
        <v>685</v>
      </c>
      <c r="I34" s="55" t="s">
        <v>684</v>
      </c>
    </row>
    <row r="35" spans="1:9">
      <c r="A35" s="138" t="s">
        <v>51</v>
      </c>
      <c r="B35" s="139"/>
      <c r="C35" s="139"/>
      <c r="D35" s="139"/>
      <c r="E35" s="140"/>
      <c r="F35" s="58">
        <v>0</v>
      </c>
      <c r="G35" s="59" t="s">
        <v>51</v>
      </c>
      <c r="H35" s="59" t="s">
        <v>51</v>
      </c>
      <c r="I35" s="58">
        <f>F35</f>
        <v>0</v>
      </c>
    </row>
    <row r="36" spans="1:9">
      <c r="A36" s="141" t="s">
        <v>691</v>
      </c>
      <c r="B36" s="142"/>
      <c r="C36" s="142"/>
      <c r="D36" s="142"/>
      <c r="E36" s="143"/>
      <c r="F36" s="60" t="s">
        <v>51</v>
      </c>
      <c r="G36" s="61" t="s">
        <v>51</v>
      </c>
      <c r="H36" s="61" t="s">
        <v>51</v>
      </c>
      <c r="I36" s="62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Kamila</cp:lastModifiedBy>
  <dcterms:created xsi:type="dcterms:W3CDTF">2021-06-10T20:06:38Z</dcterms:created>
  <dcterms:modified xsi:type="dcterms:W3CDTF">2024-08-29T11:11:21Z</dcterms:modified>
</cp:coreProperties>
</file>