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/>
  <mc:AlternateContent xmlns:mc="http://schemas.openxmlformats.org/markup-compatibility/2006">
    <mc:Choice Requires="x15">
      <x15ac:absPath xmlns:x15ac="http://schemas.microsoft.com/office/spreadsheetml/2010/11/ac" url="\\Srv-fs1\data\G-Term\Akce\0_Realizace_aktuální\21-008_Aquacentrum Teplice, nová přípojka, DPS\DPS - dokumentace pro provedení stavby\DPS - dokumentace pro provedení stavby k odevzdání_09-2024\"/>
    </mc:Choice>
  </mc:AlternateContent>
  <xr:revisionPtr revIDLastSave="0" documentId="13_ncr:1_{B9FE7860-BC7E-4AEB-926C-C5C0B52DB20F}" xr6:coauthVersionLast="47" xr6:coauthVersionMax="47" xr10:uidLastSave="{00000000-0000-0000-0000-000000000000}"/>
  <bookViews>
    <workbookView xWindow="-120" yWindow="-120" windowWidth="29040" windowHeight="15720" tabRatio="924" xr2:uid="{00000000-000D-0000-FFFF-FFFF00000000}"/>
  </bookViews>
  <sheets>
    <sheet name="krycí list" sheetId="10" r:id="rId1"/>
    <sheet name="SO 01" sheetId="18" r:id="rId2"/>
    <sheet name="SO 02" sheetId="19" r:id="rId3"/>
    <sheet name="PS 01" sheetId="11" r:id="rId4"/>
    <sheet name="PS 01-2" sheetId="9" r:id="rId5"/>
    <sheet name="PS 02" sheetId="13" r:id="rId6"/>
    <sheet name="PS 02-2" sheetId="14" r:id="rId7"/>
  </sheets>
  <externalReferences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aaa">[1]Estimate!$H$69</definedName>
    <definedName name="asdfasf" localSheetId="5">[2]HW!#REF!</definedName>
    <definedName name="asdfasf" localSheetId="6">[2]HW!#REF!</definedName>
    <definedName name="asdfasf">[2]HW!#REF!</definedName>
    <definedName name="Branch" localSheetId="5">#REF!</definedName>
    <definedName name="Branch" localSheetId="6">#REF!</definedName>
    <definedName name="Branch">[3]!Table2[Branch]</definedName>
    <definedName name="BusinessArea" localSheetId="5">#REF!</definedName>
    <definedName name="BusinessArea" localSheetId="6">#REF!</definedName>
    <definedName name="BusinessArea">[3]!Table5[Business Area]</definedName>
    <definedName name="CalculatedOrderPriceUSD" localSheetId="5">#REF!</definedName>
    <definedName name="CalculatedOrderPriceUSD" localSheetId="6">#REF!</definedName>
    <definedName name="CalculationCurrency" localSheetId="5">#REF!</definedName>
    <definedName name="CalculationCurrency" localSheetId="6">#REF!</definedName>
    <definedName name="CalculationCurrency">[3]QARF!$AI$10</definedName>
    <definedName name="Country" localSheetId="5">#REF!</definedName>
    <definedName name="Country" localSheetId="6">#REF!</definedName>
    <definedName name="Country">[3]!Table4[Country]</definedName>
    <definedName name="CountryEU" localSheetId="5">#REF!</definedName>
    <definedName name="CountryEU" localSheetId="6">#REF!</definedName>
    <definedName name="CountryEU">[3]!Table12[CountryEU]</definedName>
    <definedName name="CountryRiskLevel" localSheetId="5">#REF!</definedName>
    <definedName name="CountryRiskLevel" localSheetId="6">#REF!</definedName>
    <definedName name="CountryRiskLevel">[3]QARF!$AP$26</definedName>
    <definedName name="Currency" localSheetId="5">#REF!</definedName>
    <definedName name="Currency" localSheetId="6">#REF!</definedName>
    <definedName name="Currency">[3]!Table8[Currency]</definedName>
    <definedName name="Est_copy_první" localSheetId="5">[4]Estimate!#REF!</definedName>
    <definedName name="Est_copy_první" localSheetId="6">[4]Estimate!#REF!</definedName>
    <definedName name="Est_copy_první">[4]Estimate!#REF!</definedName>
    <definedName name="Est_poslední" localSheetId="5">[4]Estimate!$H$57</definedName>
    <definedName name="Est_poslední" localSheetId="6">[4]Estimate!$H$57</definedName>
    <definedName name="Est_poslední">[3]Estimate!$H$56</definedName>
    <definedName name="Excel_BuiltIn_Print_Area">#REF!</definedName>
    <definedName name="Excel_BuiltIn_Print_Area_1">#N/A</definedName>
    <definedName name="Excel_BuiltIn_Print_Area_1_1">#REF!</definedName>
    <definedName name="Excel_BuiltIn_Print_Area_10">#N/A</definedName>
    <definedName name="Excel_BuiltIn_Print_Area_11">#N/A</definedName>
    <definedName name="Excel_BuiltIn_Print_Area_12">#N/A</definedName>
    <definedName name="Excel_BuiltIn_Print_Area_2">#N/A</definedName>
    <definedName name="Excel_BuiltIn_Print_Area_2_1">#N/A</definedName>
    <definedName name="Excel_BuiltIn_Print_Area_4">#N/A</definedName>
    <definedName name="Excel_BuiltIn_Print_Area_5">#N/A</definedName>
    <definedName name="Excel_BuiltIn_Print_Area_9">#N/A</definedName>
    <definedName name="Excel_BuiltIn_Print_Titles_1_1">#REF!</definedName>
    <definedName name="Excel_BuiltIn_Print_Titles_2">#REF!</definedName>
    <definedName name="Excel_BuiltIn_Print_Titles_4">#N/A</definedName>
    <definedName name="Excel_BuiltIn_Print_Titles_5">#N/A</definedName>
    <definedName name="Excel_BuiltIn_Print_Titles_9">#N/A</definedName>
    <definedName name="ExpectedCompletionDate" localSheetId="5">#REF!</definedName>
    <definedName name="ExpectedCompletionDate" localSheetId="6">#REF!</definedName>
    <definedName name="ExpectedOrderDate" localSheetId="5">#REF!</definedName>
    <definedName name="ExpectedOrderDate" localSheetId="6">#REF!</definedName>
    <definedName name="ExpectedOrderDate">[3]QARF!$J$13</definedName>
    <definedName name="ExpectedOrderPriceLCR" localSheetId="5">#REF!</definedName>
    <definedName name="ExpectedOrderPriceLCR" localSheetId="6">#REF!</definedName>
    <definedName name="ExpectedOrderPriceLCR">[3]QARF!$U$66</definedName>
    <definedName name="ExpectedOrderPriceUSD" localSheetId="5">#REF!</definedName>
    <definedName name="ExpectedOrderPriceUSD" localSheetId="6">#REF!</definedName>
    <definedName name="ExpectedOrderPriceUSD">[3]QARF!$U$67</definedName>
    <definedName name="ExpectedProjectStart" localSheetId="5">#REF!</definedName>
    <definedName name="ExpectedProjectStart" localSheetId="6">#REF!</definedName>
    <definedName name="ExpectedProjectStart">[3]QARF!$R$13</definedName>
    <definedName name="ExportProject" localSheetId="5">#REF!</definedName>
    <definedName name="ExportProject" localSheetId="6">#REF!</definedName>
    <definedName name="ExportProject">[3]QARF!$AA$10</definedName>
    <definedName name="FinalPreBidTreshold" localSheetId="5">#REF!</definedName>
    <definedName name="FinalPreBidTreshold" localSheetId="6">#REF!</definedName>
    <definedName name="FinalPreBidTreshold">[3]!Table15[Final Pre-Bid Treshold]</definedName>
    <definedName name="HighRiskProject" localSheetId="5">#REF!</definedName>
    <definedName name="HighRiskProject" localSheetId="6">#REF!</definedName>
    <definedName name="HighRiskProject">[3]QARF!$B$10</definedName>
    <definedName name="CharacterOfContract" localSheetId="5">#REF!</definedName>
    <definedName name="CharacterOfContract" localSheetId="6">#REF!</definedName>
    <definedName name="CharacterOfContract">[3]!Table16[Character of Contract]</definedName>
    <definedName name="CharacterOfPrice" localSheetId="5">#REF!</definedName>
    <definedName name="CharacterOfPrice" localSheetId="6">#REF!</definedName>
    <definedName name="CharacterOfPrice">[3]!Table17[Character of Price]</definedName>
    <definedName name="Incoterms2010" localSheetId="5">#REF!</definedName>
    <definedName name="Incoterms2010" localSheetId="6">#REF!</definedName>
    <definedName name="Incoterms2010">[3]!Table18[Incoterms (2010)]</definedName>
    <definedName name="Integr_poslední" localSheetId="5">#REF!</definedName>
    <definedName name="Integr_poslední" localSheetId="6">#REF!</definedName>
    <definedName name="Integr_poslední">#REF!</definedName>
    <definedName name="InterestRate">'[5]Cash Flow'!$Q$92</definedName>
    <definedName name="JCICompany" localSheetId="5">#REF!</definedName>
    <definedName name="JCICompany" localSheetId="6">#REF!</definedName>
    <definedName name="JCICompany">[3]!Table3[JCI Company]</definedName>
    <definedName name="LookupDOA" localSheetId="5">#REF!</definedName>
    <definedName name="LookupDOA" localSheetId="6">#REF!</definedName>
    <definedName name="LookupDOA">[3]!tableDOA[[Amount Low]:[BE HQ Executives]]</definedName>
    <definedName name="Manufacturing" localSheetId="5">#REF!</definedName>
    <definedName name="Manufacturing" localSheetId="6">#REF!</definedName>
    <definedName name="Manufacturing">[3]!Table_Manufacturing[Manufacturing]</definedName>
    <definedName name="_xlnm.Print_Titles" localSheetId="3">'PS 01'!$1:$3</definedName>
    <definedName name="_xlnm.Print_Area" localSheetId="0">'krycí list'!$B$1:$I$55</definedName>
    <definedName name="_xlnm.Print_Area" localSheetId="3">'PS 01'!$A$1:$F$174</definedName>
    <definedName name="_xlnm.Print_Area" localSheetId="4">'PS 01-2'!$A$1:$F$178</definedName>
    <definedName name="_xlnm.Print_Area" localSheetId="5">'PS 02'!$A$1:$I$110</definedName>
    <definedName name="_xlnm.Print_Area" localSheetId="6">'PS 02-2'!$A$1:$I$116</definedName>
    <definedName name="OrderType" localSheetId="5">#REF!</definedName>
    <definedName name="OrderType" localSheetId="6">#REF!</definedName>
    <definedName name="OrderType">[3]!Table6[Order Type]</definedName>
    <definedName name="Risk" localSheetId="5">#REF!</definedName>
    <definedName name="Risk" localSheetId="6">#REF!</definedName>
    <definedName name="Risk">[3]!Table9[Risk]</definedName>
    <definedName name="SADaefsedf">[2]Estimate!$H$70</definedName>
    <definedName name="SelectedCurrency" localSheetId="5">IF('PS 02'!CalculationCurrency="",'PS 02'!Currency,'PS 02'!CalculationCurrency)</definedName>
    <definedName name="SelectedCurrency" localSheetId="6">IF('PS 02-2'!CalculationCurrency="",'PS 02-2'!Currency,'PS 02-2'!CalculationCurrency)</definedName>
    <definedName name="SelectedCurrency" localSheetId="1">IF(CalculationCurrency="",Currency,CalculationCurrency)</definedName>
    <definedName name="SelectedCurrency" localSheetId="2">IF(CalculationCurrency="",Currency,CalculationCurrency)</definedName>
    <definedName name="SelectedCurrency">IF(CalculationCurrency="",Currency,CalculationCurrency)</definedName>
    <definedName name="SelectedFinalPreBidTreshold" localSheetId="5">[6]QARF!$AA$16</definedName>
    <definedName name="SelectedFinalPreBidTreshold" localSheetId="6">[6]QARF!$AA$16</definedName>
    <definedName name="SelectedFinalPreBidTreshold">[3]QARF!$AA$16</definedName>
    <definedName name="Spodek" localSheetId="5">[4]HW!#REF!</definedName>
    <definedName name="Spodek" localSheetId="6">[4]HW!#REF!</definedName>
    <definedName name="Spodek">[4]HW!#REF!</definedName>
    <definedName name="SWnákup" localSheetId="5">#REF!</definedName>
    <definedName name="SWnákup" localSheetId="6">#REF!</definedName>
    <definedName name="SWnákup">#REF!</definedName>
    <definedName name="SWprodej" localSheetId="5">#REF!</definedName>
    <definedName name="SWprodej" localSheetId="6">#REF!</definedName>
    <definedName name="SWprodej">#REF!</definedName>
    <definedName name="TC" localSheetId="5">#REF!</definedName>
    <definedName name="TC" localSheetId="6">#REF!</definedName>
    <definedName name="TC">[3]!Table7[TC]</definedName>
    <definedName name="Yesno" localSheetId="5">#REF!</definedName>
    <definedName name="Yesno" localSheetId="6">#REF!</definedName>
    <definedName name="Yesno">[3]!Table1[Yesno]</definedName>
    <definedName name="YesNoNA" localSheetId="5">#REF!</definedName>
    <definedName name="YesNoNA" localSheetId="6">#REF!</definedName>
    <definedName name="YesNoNA">[3]!Table_YesNoNA[YesNoNA]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J392" i="19" l="1"/>
  <c r="BI392" i="19"/>
  <c r="BH392" i="19"/>
  <c r="BF392" i="19"/>
  <c r="BD392" i="19"/>
  <c r="AX392" i="19"/>
  <c r="AW392" i="19"/>
  <c r="BC392" i="19" s="1"/>
  <c r="AV392" i="19"/>
  <c r="AP392" i="19"/>
  <c r="I392" i="19" s="1"/>
  <c r="AO392" i="19"/>
  <c r="AK392" i="19"/>
  <c r="AT389" i="19" s="1"/>
  <c r="AJ392" i="19"/>
  <c r="AH392" i="19"/>
  <c r="AG392" i="19"/>
  <c r="AF392" i="19"/>
  <c r="AE392" i="19"/>
  <c r="AD392" i="19"/>
  <c r="AC392" i="19"/>
  <c r="AB392" i="19"/>
  <c r="Z392" i="19"/>
  <c r="J392" i="19"/>
  <c r="AL392" i="19" s="1"/>
  <c r="H392" i="19"/>
  <c r="BJ391" i="19"/>
  <c r="BH391" i="19"/>
  <c r="BF391" i="19"/>
  <c r="BD391" i="19"/>
  <c r="AW391" i="19"/>
  <c r="AP391" i="19"/>
  <c r="I391" i="19" s="1"/>
  <c r="AO391" i="19"/>
  <c r="AL391" i="19"/>
  <c r="AK391" i="19"/>
  <c r="AJ391" i="19"/>
  <c r="AS389" i="19" s="1"/>
  <c r="AH391" i="19"/>
  <c r="AG391" i="19"/>
  <c r="AF391" i="19"/>
  <c r="AE391" i="19"/>
  <c r="AD391" i="19"/>
  <c r="AB391" i="19"/>
  <c r="Z391" i="19"/>
  <c r="J391" i="19"/>
  <c r="H391" i="19"/>
  <c r="BJ390" i="19"/>
  <c r="BI390" i="19"/>
  <c r="BF390" i="19"/>
  <c r="BD390" i="19"/>
  <c r="AX390" i="19"/>
  <c r="AP390" i="19"/>
  <c r="AO390" i="19"/>
  <c r="AL390" i="19"/>
  <c r="AK390" i="19"/>
  <c r="AJ390" i="19"/>
  <c r="AH390" i="19"/>
  <c r="AG390" i="19"/>
  <c r="AF390" i="19"/>
  <c r="AE390" i="19"/>
  <c r="AD390" i="19"/>
  <c r="AC390" i="19"/>
  <c r="Z390" i="19"/>
  <c r="J390" i="19"/>
  <c r="I390" i="19"/>
  <c r="BJ387" i="19"/>
  <c r="BF387" i="19"/>
  <c r="BD387" i="19"/>
  <c r="AW387" i="19"/>
  <c r="AP387" i="19"/>
  <c r="AO387" i="19"/>
  <c r="AL387" i="19"/>
  <c r="AK387" i="19"/>
  <c r="AJ387" i="19"/>
  <c r="AH387" i="19"/>
  <c r="AG387" i="19"/>
  <c r="AF387" i="19"/>
  <c r="AE387" i="19"/>
  <c r="AD387" i="19"/>
  <c r="AC387" i="19"/>
  <c r="AB387" i="19"/>
  <c r="Z387" i="19"/>
  <c r="J387" i="19"/>
  <c r="BJ385" i="19"/>
  <c r="BH385" i="19"/>
  <c r="BF385" i="19"/>
  <c r="BD385" i="19"/>
  <c r="AW385" i="19"/>
  <c r="AP385" i="19"/>
  <c r="AX385" i="19" s="1"/>
  <c r="AV385" i="19" s="1"/>
  <c r="AO385" i="19"/>
  <c r="AK385" i="19"/>
  <c r="AT374" i="19" s="1"/>
  <c r="AJ385" i="19"/>
  <c r="AH385" i="19"/>
  <c r="AG385" i="19"/>
  <c r="AF385" i="19"/>
  <c r="AE385" i="19"/>
  <c r="AD385" i="19"/>
  <c r="AC385" i="19"/>
  <c r="AB385" i="19"/>
  <c r="Z385" i="19"/>
  <c r="J385" i="19"/>
  <c r="AL385" i="19" s="1"/>
  <c r="H385" i="19"/>
  <c r="BJ383" i="19"/>
  <c r="BH383" i="19"/>
  <c r="BF383" i="19"/>
  <c r="BD383" i="19"/>
  <c r="AW383" i="19"/>
  <c r="AP383" i="19"/>
  <c r="AO383" i="19"/>
  <c r="H383" i="19" s="1"/>
  <c r="AL383" i="19"/>
  <c r="AK383" i="19"/>
  <c r="AJ383" i="19"/>
  <c r="AH383" i="19"/>
  <c r="AG383" i="19"/>
  <c r="AF383" i="19"/>
  <c r="AE383" i="19"/>
  <c r="AD383" i="19"/>
  <c r="AC383" i="19"/>
  <c r="AB383" i="19"/>
  <c r="Z383" i="19"/>
  <c r="J383" i="19"/>
  <c r="BJ381" i="19"/>
  <c r="Z381" i="19" s="1"/>
  <c r="BI381" i="19"/>
  <c r="BH381" i="19"/>
  <c r="BF381" i="19"/>
  <c r="BD381" i="19"/>
  <c r="AX381" i="19"/>
  <c r="AP381" i="19"/>
  <c r="I381" i="19" s="1"/>
  <c r="AO381" i="19"/>
  <c r="AW381" i="19" s="1"/>
  <c r="AK381" i="19"/>
  <c r="AJ381" i="19"/>
  <c r="AH381" i="19"/>
  <c r="AG381" i="19"/>
  <c r="AF381" i="19"/>
  <c r="AE381" i="19"/>
  <c r="AD381" i="19"/>
  <c r="AC381" i="19"/>
  <c r="AB381" i="19"/>
  <c r="J381" i="19"/>
  <c r="AL381" i="19" s="1"/>
  <c r="H381" i="19"/>
  <c r="BJ379" i="19"/>
  <c r="Z379" i="19" s="1"/>
  <c r="BH379" i="19"/>
  <c r="BF379" i="19"/>
  <c r="BD379" i="19"/>
  <c r="AX379" i="19"/>
  <c r="BC379" i="19" s="1"/>
  <c r="AW379" i="19"/>
  <c r="AP379" i="19"/>
  <c r="BI379" i="19" s="1"/>
  <c r="AO379" i="19"/>
  <c r="AL379" i="19"/>
  <c r="AK379" i="19"/>
  <c r="AJ379" i="19"/>
  <c r="AH379" i="19"/>
  <c r="AG379" i="19"/>
  <c r="AF379" i="19"/>
  <c r="AE379" i="19"/>
  <c r="AD379" i="19"/>
  <c r="AC379" i="19"/>
  <c r="AB379" i="19"/>
  <c r="J379" i="19"/>
  <c r="I379" i="19"/>
  <c r="H379" i="19"/>
  <c r="BJ377" i="19"/>
  <c r="Z377" i="19" s="1"/>
  <c r="BI377" i="19"/>
  <c r="BF377" i="19"/>
  <c r="BD377" i="19"/>
  <c r="AX377" i="19"/>
  <c r="AP377" i="19"/>
  <c r="AO377" i="19"/>
  <c r="AW377" i="19" s="1"/>
  <c r="AV377" i="19" s="1"/>
  <c r="AL377" i="19"/>
  <c r="AU374" i="19" s="1"/>
  <c r="AK377" i="19"/>
  <c r="AJ377" i="19"/>
  <c r="AH377" i="19"/>
  <c r="AG377" i="19"/>
  <c r="AF377" i="19"/>
  <c r="AE377" i="19"/>
  <c r="AD377" i="19"/>
  <c r="AC377" i="19"/>
  <c r="AB377" i="19"/>
  <c r="J377" i="19"/>
  <c r="I377" i="19"/>
  <c r="H377" i="19"/>
  <c r="BJ375" i="19"/>
  <c r="BH375" i="19"/>
  <c r="BF375" i="19"/>
  <c r="BD375" i="19"/>
  <c r="AW375" i="19"/>
  <c r="AP375" i="19"/>
  <c r="AO375" i="19"/>
  <c r="H375" i="19" s="1"/>
  <c r="AL375" i="19"/>
  <c r="AK375" i="19"/>
  <c r="AJ375" i="19"/>
  <c r="AS374" i="19" s="1"/>
  <c r="AH375" i="19"/>
  <c r="AG375" i="19"/>
  <c r="AF375" i="19"/>
  <c r="AE375" i="19"/>
  <c r="AD375" i="19"/>
  <c r="AC375" i="19"/>
  <c r="AB375" i="19"/>
  <c r="Z375" i="19"/>
  <c r="J375" i="19"/>
  <c r="BJ372" i="19"/>
  <c r="BF372" i="19"/>
  <c r="BD372" i="19"/>
  <c r="AP372" i="19"/>
  <c r="AO372" i="19"/>
  <c r="H372" i="19" s="1"/>
  <c r="H371" i="19" s="1"/>
  <c r="AK372" i="19"/>
  <c r="AT371" i="19" s="1"/>
  <c r="AJ372" i="19"/>
  <c r="AH372" i="19"/>
  <c r="AE372" i="19"/>
  <c r="AD372" i="19"/>
  <c r="AC372" i="19"/>
  <c r="AB372" i="19"/>
  <c r="Z372" i="19"/>
  <c r="J372" i="19"/>
  <c r="AS371" i="19"/>
  <c r="BJ369" i="19"/>
  <c r="BI369" i="19"/>
  <c r="BH369" i="19"/>
  <c r="BF369" i="19"/>
  <c r="BD369" i="19"/>
  <c r="AW369" i="19"/>
  <c r="AP369" i="19"/>
  <c r="AO369" i="19"/>
  <c r="AL369" i="19"/>
  <c r="AU368" i="19" s="1"/>
  <c r="AK369" i="19"/>
  <c r="AT368" i="19" s="1"/>
  <c r="AJ369" i="19"/>
  <c r="AH369" i="19"/>
  <c r="AG369" i="19"/>
  <c r="AF369" i="19"/>
  <c r="AE369" i="19"/>
  <c r="AD369" i="19"/>
  <c r="AC369" i="19"/>
  <c r="AB369" i="19"/>
  <c r="Z369" i="19"/>
  <c r="J369" i="19"/>
  <c r="H369" i="19"/>
  <c r="H368" i="19" s="1"/>
  <c r="AS368" i="19"/>
  <c r="J368" i="19"/>
  <c r="BJ366" i="19"/>
  <c r="Z366" i="19" s="1"/>
  <c r="BI366" i="19"/>
  <c r="BF366" i="19"/>
  <c r="BD366" i="19"/>
  <c r="AX366" i="19"/>
  <c r="AP366" i="19"/>
  <c r="I366" i="19" s="1"/>
  <c r="AO366" i="19"/>
  <c r="AW366" i="19" s="1"/>
  <c r="BC366" i="19" s="1"/>
  <c r="AK366" i="19"/>
  <c r="AJ366" i="19"/>
  <c r="AH366" i="19"/>
  <c r="AG366" i="19"/>
  <c r="AF366" i="19"/>
  <c r="AE366" i="19"/>
  <c r="AD366" i="19"/>
  <c r="AC366" i="19"/>
  <c r="AB366" i="19"/>
  <c r="J366" i="19"/>
  <c r="BJ364" i="19"/>
  <c r="Z364" i="19" s="1"/>
  <c r="BH364" i="19"/>
  <c r="BF364" i="19"/>
  <c r="BD364" i="19"/>
  <c r="AX364" i="19"/>
  <c r="BC364" i="19" s="1"/>
  <c r="AW364" i="19"/>
  <c r="AP364" i="19"/>
  <c r="BI364" i="19" s="1"/>
  <c r="AO364" i="19"/>
  <c r="AL364" i="19"/>
  <c r="AK364" i="19"/>
  <c r="AT363" i="19" s="1"/>
  <c r="AJ364" i="19"/>
  <c r="AS363" i="19" s="1"/>
  <c r="AH364" i="19"/>
  <c r="AG364" i="19"/>
  <c r="AF364" i="19"/>
  <c r="AE364" i="19"/>
  <c r="AD364" i="19"/>
  <c r="AC364" i="19"/>
  <c r="AB364" i="19"/>
  <c r="J364" i="19"/>
  <c r="I364" i="19"/>
  <c r="H364" i="19"/>
  <c r="I363" i="19"/>
  <c r="BJ361" i="19"/>
  <c r="BH361" i="19"/>
  <c r="AB361" i="19" s="1"/>
  <c r="BF361" i="19"/>
  <c r="BD361" i="19"/>
  <c r="AP361" i="19"/>
  <c r="AO361" i="19"/>
  <c r="AW361" i="19" s="1"/>
  <c r="AK361" i="19"/>
  <c r="AT360" i="19" s="1"/>
  <c r="AJ361" i="19"/>
  <c r="AS360" i="19" s="1"/>
  <c r="AH361" i="19"/>
  <c r="AG361" i="19"/>
  <c r="AF361" i="19"/>
  <c r="AE361" i="19"/>
  <c r="AD361" i="19"/>
  <c r="Z361" i="19"/>
  <c r="J361" i="19"/>
  <c r="AL361" i="19" s="1"/>
  <c r="AU360" i="19" s="1"/>
  <c r="H361" i="19"/>
  <c r="J360" i="19"/>
  <c r="H360" i="19"/>
  <c r="BJ358" i="19"/>
  <c r="BI358" i="19"/>
  <c r="BF358" i="19"/>
  <c r="BD358" i="19"/>
  <c r="AP358" i="19"/>
  <c r="AX358" i="19" s="1"/>
  <c r="AO358" i="19"/>
  <c r="AL358" i="19"/>
  <c r="AK358" i="19"/>
  <c r="AJ358" i="19"/>
  <c r="AS350" i="19" s="1"/>
  <c r="AH358" i="19"/>
  <c r="AG358" i="19"/>
  <c r="AF358" i="19"/>
  <c r="AE358" i="19"/>
  <c r="AD358" i="19"/>
  <c r="AC358" i="19"/>
  <c r="Z358" i="19"/>
  <c r="J358" i="19"/>
  <c r="I358" i="19"/>
  <c r="BJ351" i="19"/>
  <c r="BF351" i="19"/>
  <c r="BD351" i="19"/>
  <c r="AP351" i="19"/>
  <c r="BI351" i="19" s="1"/>
  <c r="AC351" i="19" s="1"/>
  <c r="AO351" i="19"/>
  <c r="AW351" i="19" s="1"/>
  <c r="AK351" i="19"/>
  <c r="AJ351" i="19"/>
  <c r="AH351" i="19"/>
  <c r="AG351" i="19"/>
  <c r="AF351" i="19"/>
  <c r="AE351" i="19"/>
  <c r="AD351" i="19"/>
  <c r="Z351" i="19"/>
  <c r="J351" i="19"/>
  <c r="AL351" i="19" s="1"/>
  <c r="AU350" i="19"/>
  <c r="AT350" i="19"/>
  <c r="BJ348" i="19"/>
  <c r="BH348" i="19"/>
  <c r="AB348" i="19" s="1"/>
  <c r="BF348" i="19"/>
  <c r="BD348" i="19"/>
  <c r="AW348" i="19"/>
  <c r="AP348" i="19"/>
  <c r="AO348" i="19"/>
  <c r="H348" i="19" s="1"/>
  <c r="H347" i="19" s="1"/>
  <c r="AL348" i="19"/>
  <c r="AK348" i="19"/>
  <c r="AJ348" i="19"/>
  <c r="AS347" i="19" s="1"/>
  <c r="AH348" i="19"/>
  <c r="AG348" i="19"/>
  <c r="AF348" i="19"/>
  <c r="AE348" i="19"/>
  <c r="AD348" i="19"/>
  <c r="Z348" i="19"/>
  <c r="J348" i="19"/>
  <c r="J347" i="19" s="1"/>
  <c r="AU347" i="19"/>
  <c r="AT347" i="19"/>
  <c r="BJ345" i="19"/>
  <c r="BI345" i="19"/>
  <c r="BH345" i="19"/>
  <c r="BF345" i="19"/>
  <c r="BD345" i="19"/>
  <c r="AX345" i="19"/>
  <c r="AW345" i="19"/>
  <c r="BC345" i="19" s="1"/>
  <c r="AV345" i="19"/>
  <c r="AP345" i="19"/>
  <c r="AO345" i="19"/>
  <c r="H345" i="19" s="1"/>
  <c r="H344" i="19" s="1"/>
  <c r="AL345" i="19"/>
  <c r="AK345" i="19"/>
  <c r="AJ345" i="19"/>
  <c r="AS344" i="19" s="1"/>
  <c r="AH345" i="19"/>
  <c r="AG345" i="19"/>
  <c r="AF345" i="19"/>
  <c r="AE345" i="19"/>
  <c r="AD345" i="19"/>
  <c r="AC345" i="19"/>
  <c r="AB345" i="19"/>
  <c r="Z345" i="19"/>
  <c r="J345" i="19"/>
  <c r="I345" i="19"/>
  <c r="I344" i="19" s="1"/>
  <c r="AU344" i="19"/>
  <c r="AT344" i="19"/>
  <c r="J344" i="19"/>
  <c r="BJ342" i="19"/>
  <c r="BI342" i="19"/>
  <c r="BH342" i="19"/>
  <c r="BF342" i="19"/>
  <c r="BD342" i="19"/>
  <c r="AX342" i="19"/>
  <c r="BC342" i="19" s="1"/>
  <c r="AW342" i="19"/>
  <c r="AP342" i="19"/>
  <c r="AO342" i="19"/>
  <c r="AL342" i="19"/>
  <c r="AK342" i="19"/>
  <c r="AJ342" i="19"/>
  <c r="AH342" i="19"/>
  <c r="AG342" i="19"/>
  <c r="AF342" i="19"/>
  <c r="AE342" i="19"/>
  <c r="AD342" i="19"/>
  <c r="AC342" i="19"/>
  <c r="AB342" i="19"/>
  <c r="Z342" i="19"/>
  <c r="J342" i="19"/>
  <c r="I342" i="19"/>
  <c r="H342" i="19"/>
  <c r="BJ340" i="19"/>
  <c r="BI340" i="19"/>
  <c r="BH340" i="19"/>
  <c r="AB340" i="19" s="1"/>
  <c r="BF340" i="19"/>
  <c r="BD340" i="19"/>
  <c r="AX340" i="19"/>
  <c r="AP340" i="19"/>
  <c r="AO340" i="19"/>
  <c r="AK340" i="19"/>
  <c r="AJ340" i="19"/>
  <c r="AH340" i="19"/>
  <c r="AG340" i="19"/>
  <c r="AF340" i="19"/>
  <c r="AE340" i="19"/>
  <c r="AD340" i="19"/>
  <c r="AC340" i="19"/>
  <c r="Z340" i="19"/>
  <c r="J340" i="19"/>
  <c r="AL340" i="19" s="1"/>
  <c r="I340" i="19"/>
  <c r="BJ338" i="19"/>
  <c r="BI338" i="19"/>
  <c r="AC338" i="19" s="1"/>
  <c r="BF338" i="19"/>
  <c r="BD338" i="19"/>
  <c r="AP338" i="19"/>
  <c r="AX338" i="19" s="1"/>
  <c r="AO338" i="19"/>
  <c r="H338" i="19" s="1"/>
  <c r="AL338" i="19"/>
  <c r="AK338" i="19"/>
  <c r="AJ338" i="19"/>
  <c r="AH338" i="19"/>
  <c r="AG338" i="19"/>
  <c r="AF338" i="19"/>
  <c r="AE338" i="19"/>
  <c r="AD338" i="19"/>
  <c r="Z338" i="19"/>
  <c r="J338" i="19"/>
  <c r="I338" i="19"/>
  <c r="BJ336" i="19"/>
  <c r="BI336" i="19"/>
  <c r="AC336" i="19" s="1"/>
  <c r="BF336" i="19"/>
  <c r="BD336" i="19"/>
  <c r="AP336" i="19"/>
  <c r="I336" i="19" s="1"/>
  <c r="AO336" i="19"/>
  <c r="AW336" i="19" s="1"/>
  <c r="AK336" i="19"/>
  <c r="AJ336" i="19"/>
  <c r="AH336" i="19"/>
  <c r="AG336" i="19"/>
  <c r="AF336" i="19"/>
  <c r="AE336" i="19"/>
  <c r="AD336" i="19"/>
  <c r="Z336" i="19"/>
  <c r="J336" i="19"/>
  <c r="AL336" i="19" s="1"/>
  <c r="H336" i="19"/>
  <c r="BJ334" i="19"/>
  <c r="BH334" i="19"/>
  <c r="BF334" i="19"/>
  <c r="BD334" i="19"/>
  <c r="AW334" i="19"/>
  <c r="AP334" i="19"/>
  <c r="AO334" i="19"/>
  <c r="AL334" i="19"/>
  <c r="AK334" i="19"/>
  <c r="AJ334" i="19"/>
  <c r="AH334" i="19"/>
  <c r="AG334" i="19"/>
  <c r="AF334" i="19"/>
  <c r="AE334" i="19"/>
  <c r="AD334" i="19"/>
  <c r="AB334" i="19"/>
  <c r="Z334" i="19"/>
  <c r="J334" i="19"/>
  <c r="H334" i="19"/>
  <c r="BJ332" i="19"/>
  <c r="BI332" i="19"/>
  <c r="AC332" i="19" s="1"/>
  <c r="BF332" i="19"/>
  <c r="BD332" i="19"/>
  <c r="AX332" i="19"/>
  <c r="AP332" i="19"/>
  <c r="AO332" i="19"/>
  <c r="AL332" i="19"/>
  <c r="AK332" i="19"/>
  <c r="AJ332" i="19"/>
  <c r="AH332" i="19"/>
  <c r="AG332" i="19"/>
  <c r="AF332" i="19"/>
  <c r="AE332" i="19"/>
  <c r="AD332" i="19"/>
  <c r="Z332" i="19"/>
  <c r="J332" i="19"/>
  <c r="I332" i="19"/>
  <c r="H332" i="19"/>
  <c r="BJ328" i="19"/>
  <c r="BF328" i="19"/>
  <c r="BD328" i="19"/>
  <c r="AP328" i="19"/>
  <c r="BI328" i="19" s="1"/>
  <c r="AC328" i="19" s="1"/>
  <c r="AO328" i="19"/>
  <c r="AL328" i="19"/>
  <c r="AK328" i="19"/>
  <c r="AJ328" i="19"/>
  <c r="AH328" i="19"/>
  <c r="AG328" i="19"/>
  <c r="AF328" i="19"/>
  <c r="AE328" i="19"/>
  <c r="AD328" i="19"/>
  <c r="Z328" i="19"/>
  <c r="J328" i="19"/>
  <c r="I328" i="19"/>
  <c r="H328" i="19"/>
  <c r="BJ326" i="19"/>
  <c r="BH326" i="19"/>
  <c r="AB326" i="19" s="1"/>
  <c r="BF326" i="19"/>
  <c r="BD326" i="19"/>
  <c r="AP326" i="19"/>
  <c r="AO326" i="19"/>
  <c r="AW326" i="19" s="1"/>
  <c r="AK326" i="19"/>
  <c r="AJ326" i="19"/>
  <c r="AH326" i="19"/>
  <c r="AG326" i="19"/>
  <c r="AF326" i="19"/>
  <c r="AE326" i="19"/>
  <c r="AD326" i="19"/>
  <c r="Z326" i="19"/>
  <c r="J326" i="19"/>
  <c r="AL326" i="19" s="1"/>
  <c r="H326" i="19"/>
  <c r="BJ323" i="19"/>
  <c r="BI323" i="19"/>
  <c r="BF323" i="19"/>
  <c r="BD323" i="19"/>
  <c r="AP323" i="19"/>
  <c r="AX323" i="19" s="1"/>
  <c r="AO323" i="19"/>
  <c r="AL323" i="19"/>
  <c r="AK323" i="19"/>
  <c r="AJ323" i="19"/>
  <c r="AS320" i="19" s="1"/>
  <c r="AH323" i="19"/>
  <c r="AG323" i="19"/>
  <c r="AF323" i="19"/>
  <c r="AE323" i="19"/>
  <c r="AD323" i="19"/>
  <c r="AC323" i="19"/>
  <c r="Z323" i="19"/>
  <c r="J323" i="19"/>
  <c r="I323" i="19"/>
  <c r="BJ321" i="19"/>
  <c r="BF321" i="19"/>
  <c r="BD321" i="19"/>
  <c r="AP321" i="19"/>
  <c r="BI321" i="19" s="1"/>
  <c r="AC321" i="19" s="1"/>
  <c r="AO321" i="19"/>
  <c r="AW321" i="19" s="1"/>
  <c r="AK321" i="19"/>
  <c r="AJ321" i="19"/>
  <c r="AH321" i="19"/>
  <c r="AG321" i="19"/>
  <c r="AF321" i="19"/>
  <c r="AE321" i="19"/>
  <c r="AD321" i="19"/>
  <c r="Z321" i="19"/>
  <c r="J321" i="19"/>
  <c r="AL321" i="19" s="1"/>
  <c r="AU320" i="19"/>
  <c r="AT320" i="19"/>
  <c r="BJ318" i="19"/>
  <c r="BH318" i="19"/>
  <c r="AB318" i="19" s="1"/>
  <c r="BF318" i="19"/>
  <c r="BD318" i="19"/>
  <c r="AW318" i="19"/>
  <c r="AP318" i="19"/>
  <c r="AO318" i="19"/>
  <c r="H318" i="19" s="1"/>
  <c r="AL318" i="19"/>
  <c r="AK318" i="19"/>
  <c r="AJ318" i="19"/>
  <c r="AH318" i="19"/>
  <c r="AG318" i="19"/>
  <c r="AF318" i="19"/>
  <c r="AE318" i="19"/>
  <c r="AD318" i="19"/>
  <c r="Z318" i="19"/>
  <c r="J318" i="19"/>
  <c r="BJ313" i="19"/>
  <c r="BI313" i="19"/>
  <c r="BF313" i="19"/>
  <c r="BD313" i="19"/>
  <c r="AX313" i="19"/>
  <c r="AP313" i="19"/>
  <c r="I313" i="19" s="1"/>
  <c r="AO313" i="19"/>
  <c r="BH313" i="19" s="1"/>
  <c r="AB313" i="19" s="1"/>
  <c r="AK313" i="19"/>
  <c r="AJ313" i="19"/>
  <c r="AH313" i="19"/>
  <c r="AG313" i="19"/>
  <c r="AF313" i="19"/>
  <c r="AE313" i="19"/>
  <c r="AD313" i="19"/>
  <c r="AC313" i="19"/>
  <c r="Z313" i="19"/>
  <c r="J313" i="19"/>
  <c r="AL313" i="19" s="1"/>
  <c r="H313" i="19"/>
  <c r="BJ310" i="19"/>
  <c r="BI310" i="19"/>
  <c r="AC310" i="19" s="1"/>
  <c r="BH310" i="19"/>
  <c r="BF310" i="19"/>
  <c r="BD310" i="19"/>
  <c r="AX310" i="19"/>
  <c r="AW310" i="19"/>
  <c r="AP310" i="19"/>
  <c r="AO310" i="19"/>
  <c r="AL310" i="19"/>
  <c r="AK310" i="19"/>
  <c r="AJ310" i="19"/>
  <c r="AH310" i="19"/>
  <c r="AG310" i="19"/>
  <c r="AF310" i="19"/>
  <c r="AE310" i="19"/>
  <c r="AD310" i="19"/>
  <c r="AB310" i="19"/>
  <c r="Z310" i="19"/>
  <c r="J310" i="19"/>
  <c r="I310" i="19"/>
  <c r="H310" i="19"/>
  <c r="BJ307" i="19"/>
  <c r="BI307" i="19"/>
  <c r="BH307" i="19"/>
  <c r="AB307" i="19" s="1"/>
  <c r="BF307" i="19"/>
  <c r="BD307" i="19"/>
  <c r="AX307" i="19"/>
  <c r="AV307" i="19"/>
  <c r="AP307" i="19"/>
  <c r="AO307" i="19"/>
  <c r="AW307" i="19" s="1"/>
  <c r="BC307" i="19" s="1"/>
  <c r="AL307" i="19"/>
  <c r="AK307" i="19"/>
  <c r="AJ307" i="19"/>
  <c r="AH307" i="19"/>
  <c r="AG307" i="19"/>
  <c r="AF307" i="19"/>
  <c r="AE307" i="19"/>
  <c r="AD307" i="19"/>
  <c r="AC307" i="19"/>
  <c r="Z307" i="19"/>
  <c r="J307" i="19"/>
  <c r="I307" i="19"/>
  <c r="H307" i="19"/>
  <c r="BJ304" i="19"/>
  <c r="BI304" i="19"/>
  <c r="AC304" i="19" s="1"/>
  <c r="BH304" i="19"/>
  <c r="AB304" i="19" s="1"/>
  <c r="BF304" i="19"/>
  <c r="BD304" i="19"/>
  <c r="AP304" i="19"/>
  <c r="AX304" i="19" s="1"/>
  <c r="AO304" i="19"/>
  <c r="H304" i="19" s="1"/>
  <c r="AK304" i="19"/>
  <c r="AJ304" i="19"/>
  <c r="AH304" i="19"/>
  <c r="AG304" i="19"/>
  <c r="AF304" i="19"/>
  <c r="AE304" i="19"/>
  <c r="AD304" i="19"/>
  <c r="Z304" i="19"/>
  <c r="J304" i="19"/>
  <c r="AL304" i="19" s="1"/>
  <c r="BJ301" i="19"/>
  <c r="BH301" i="19"/>
  <c r="BF301" i="19"/>
  <c r="BD301" i="19"/>
  <c r="AP301" i="19"/>
  <c r="I301" i="19" s="1"/>
  <c r="AO301" i="19"/>
  <c r="AW301" i="19" s="1"/>
  <c r="AK301" i="19"/>
  <c r="AJ301" i="19"/>
  <c r="AH301" i="19"/>
  <c r="AG301" i="19"/>
  <c r="AF301" i="19"/>
  <c r="AE301" i="19"/>
  <c r="AD301" i="19"/>
  <c r="AB301" i="19"/>
  <c r="Z301" i="19"/>
  <c r="J301" i="19"/>
  <c r="AL301" i="19" s="1"/>
  <c r="H301" i="19"/>
  <c r="BJ299" i="19"/>
  <c r="BI299" i="19"/>
  <c r="AC299" i="19" s="1"/>
  <c r="BH299" i="19"/>
  <c r="AB299" i="19" s="1"/>
  <c r="BF299" i="19"/>
  <c r="BD299" i="19"/>
  <c r="AW299" i="19"/>
  <c r="AP299" i="19"/>
  <c r="AO299" i="19"/>
  <c r="AL299" i="19"/>
  <c r="AK299" i="19"/>
  <c r="AJ299" i="19"/>
  <c r="AH299" i="19"/>
  <c r="AG299" i="19"/>
  <c r="AF299" i="19"/>
  <c r="AE299" i="19"/>
  <c r="AD299" i="19"/>
  <c r="Z299" i="19"/>
  <c r="J299" i="19"/>
  <c r="H299" i="19"/>
  <c r="BJ296" i="19"/>
  <c r="BI296" i="19"/>
  <c r="AC296" i="19" s="1"/>
  <c r="BH296" i="19"/>
  <c r="AB296" i="19" s="1"/>
  <c r="BF296" i="19"/>
  <c r="BD296" i="19"/>
  <c r="AX296" i="19"/>
  <c r="AP296" i="19"/>
  <c r="AO296" i="19"/>
  <c r="AW296" i="19" s="1"/>
  <c r="AK296" i="19"/>
  <c r="AJ296" i="19"/>
  <c r="AH296" i="19"/>
  <c r="AG296" i="19"/>
  <c r="AF296" i="19"/>
  <c r="AE296" i="19"/>
  <c r="AD296" i="19"/>
  <c r="Z296" i="19"/>
  <c r="J296" i="19"/>
  <c r="AL296" i="19" s="1"/>
  <c r="I296" i="19"/>
  <c r="H296" i="19"/>
  <c r="BJ294" i="19"/>
  <c r="BI294" i="19"/>
  <c r="BF294" i="19"/>
  <c r="BD294" i="19"/>
  <c r="AX294" i="19"/>
  <c r="AP294" i="19"/>
  <c r="AO294" i="19"/>
  <c r="BH294" i="19" s="1"/>
  <c r="AB294" i="19" s="1"/>
  <c r="AL294" i="19"/>
  <c r="AK294" i="19"/>
  <c r="AJ294" i="19"/>
  <c r="AH294" i="19"/>
  <c r="AG294" i="19"/>
  <c r="AF294" i="19"/>
  <c r="AE294" i="19"/>
  <c r="AD294" i="19"/>
  <c r="AC294" i="19"/>
  <c r="Z294" i="19"/>
  <c r="J294" i="19"/>
  <c r="I294" i="19"/>
  <c r="H294" i="19"/>
  <c r="BJ291" i="19"/>
  <c r="BF291" i="19"/>
  <c r="BD291" i="19"/>
  <c r="AP291" i="19"/>
  <c r="BI291" i="19" s="1"/>
  <c r="AC291" i="19" s="1"/>
  <c r="AO291" i="19"/>
  <c r="AK291" i="19"/>
  <c r="AJ291" i="19"/>
  <c r="AH291" i="19"/>
  <c r="AG291" i="19"/>
  <c r="AF291" i="19"/>
  <c r="AE291" i="19"/>
  <c r="AD291" i="19"/>
  <c r="Z291" i="19"/>
  <c r="J291" i="19"/>
  <c r="AL291" i="19" s="1"/>
  <c r="I291" i="19"/>
  <c r="BJ289" i="19"/>
  <c r="BF289" i="19"/>
  <c r="BD289" i="19"/>
  <c r="AW289" i="19"/>
  <c r="AP289" i="19"/>
  <c r="AX289" i="19" s="1"/>
  <c r="AV289" i="19" s="1"/>
  <c r="AO289" i="19"/>
  <c r="AL289" i="19"/>
  <c r="AK289" i="19"/>
  <c r="AJ289" i="19"/>
  <c r="AH289" i="19"/>
  <c r="AG289" i="19"/>
  <c r="AF289" i="19"/>
  <c r="AE289" i="19"/>
  <c r="AD289" i="19"/>
  <c r="Z289" i="19"/>
  <c r="J289" i="19"/>
  <c r="I289" i="19"/>
  <c r="BJ283" i="19"/>
  <c r="BH283" i="19"/>
  <c r="AB283" i="19" s="1"/>
  <c r="BF283" i="19"/>
  <c r="BD283" i="19"/>
  <c r="AW283" i="19"/>
  <c r="AP283" i="19"/>
  <c r="AO283" i="19"/>
  <c r="AK283" i="19"/>
  <c r="AT282" i="19" s="1"/>
  <c r="AJ283" i="19"/>
  <c r="AH283" i="19"/>
  <c r="AG283" i="19"/>
  <c r="AF283" i="19"/>
  <c r="AE283" i="19"/>
  <c r="AD283" i="19"/>
  <c r="Z283" i="19"/>
  <c r="J283" i="19"/>
  <c r="AL283" i="19" s="1"/>
  <c r="H283" i="19"/>
  <c r="BJ280" i="19"/>
  <c r="BI280" i="19"/>
  <c r="AC280" i="19" s="1"/>
  <c r="BH280" i="19"/>
  <c r="AB280" i="19" s="1"/>
  <c r="BF280" i="19"/>
  <c r="BD280" i="19"/>
  <c r="AW280" i="19"/>
  <c r="AP280" i="19"/>
  <c r="AX280" i="19" s="1"/>
  <c r="AV280" i="19" s="1"/>
  <c r="AO280" i="19"/>
  <c r="AL280" i="19"/>
  <c r="AK280" i="19"/>
  <c r="AJ280" i="19"/>
  <c r="AH280" i="19"/>
  <c r="AG280" i="19"/>
  <c r="AF280" i="19"/>
  <c r="AE280" i="19"/>
  <c r="AD280" i="19"/>
  <c r="Z280" i="19"/>
  <c r="J280" i="19"/>
  <c r="H280" i="19"/>
  <c r="BJ278" i="19"/>
  <c r="BI278" i="19"/>
  <c r="AC278" i="19" s="1"/>
  <c r="BH278" i="19"/>
  <c r="AB278" i="19" s="1"/>
  <c r="BF278" i="19"/>
  <c r="BD278" i="19"/>
  <c r="AX278" i="19"/>
  <c r="AW278" i="19"/>
  <c r="BC278" i="19" s="1"/>
  <c r="AV278" i="19"/>
  <c r="AP278" i="19"/>
  <c r="AO278" i="19"/>
  <c r="AL278" i="19"/>
  <c r="AK278" i="19"/>
  <c r="AJ278" i="19"/>
  <c r="AH278" i="19"/>
  <c r="AG278" i="19"/>
  <c r="AF278" i="19"/>
  <c r="AE278" i="19"/>
  <c r="AD278" i="19"/>
  <c r="Z278" i="19"/>
  <c r="J278" i="19"/>
  <c r="I278" i="19"/>
  <c r="H278" i="19"/>
  <c r="BJ276" i="19"/>
  <c r="BI276" i="19"/>
  <c r="AC276" i="19" s="1"/>
  <c r="BF276" i="19"/>
  <c r="BD276" i="19"/>
  <c r="AW276" i="19"/>
  <c r="AP276" i="19"/>
  <c r="AX276" i="19" s="1"/>
  <c r="AO276" i="19"/>
  <c r="AK276" i="19"/>
  <c r="AJ276" i="19"/>
  <c r="AH276" i="19"/>
  <c r="AG276" i="19"/>
  <c r="AF276" i="19"/>
  <c r="AE276" i="19"/>
  <c r="AD276" i="19"/>
  <c r="Z276" i="19"/>
  <c r="J276" i="19"/>
  <c r="AL276" i="19" s="1"/>
  <c r="I276" i="19"/>
  <c r="BJ274" i="19"/>
  <c r="BF274" i="19"/>
  <c r="BD274" i="19"/>
  <c r="AX274" i="19"/>
  <c r="AP274" i="19"/>
  <c r="BI274" i="19" s="1"/>
  <c r="AC274" i="19" s="1"/>
  <c r="AO274" i="19"/>
  <c r="AW274" i="19" s="1"/>
  <c r="BC274" i="19" s="1"/>
  <c r="AL274" i="19"/>
  <c r="AK274" i="19"/>
  <c r="AJ274" i="19"/>
  <c r="AH274" i="19"/>
  <c r="AG274" i="19"/>
  <c r="AF274" i="19"/>
  <c r="AE274" i="19"/>
  <c r="AD274" i="19"/>
  <c r="Z274" i="19"/>
  <c r="J274" i="19"/>
  <c r="I274" i="19"/>
  <c r="H274" i="19"/>
  <c r="BJ272" i="19"/>
  <c r="BF272" i="19"/>
  <c r="BD272" i="19"/>
  <c r="AW272" i="19"/>
  <c r="BC272" i="19" s="1"/>
  <c r="AV272" i="19"/>
  <c r="AP272" i="19"/>
  <c r="AX272" i="19" s="1"/>
  <c r="AO272" i="19"/>
  <c r="AK272" i="19"/>
  <c r="AJ272" i="19"/>
  <c r="AH272" i="19"/>
  <c r="AG272" i="19"/>
  <c r="AF272" i="19"/>
  <c r="AE272" i="19"/>
  <c r="AD272" i="19"/>
  <c r="Z272" i="19"/>
  <c r="J272" i="19"/>
  <c r="AL272" i="19" s="1"/>
  <c r="BJ270" i="19"/>
  <c r="BH270" i="19"/>
  <c r="BF270" i="19"/>
  <c r="BD270" i="19"/>
  <c r="AW270" i="19"/>
  <c r="AP270" i="19"/>
  <c r="AO270" i="19"/>
  <c r="AK270" i="19"/>
  <c r="AJ270" i="19"/>
  <c r="AH270" i="19"/>
  <c r="AG270" i="19"/>
  <c r="AF270" i="19"/>
  <c r="AE270" i="19"/>
  <c r="AD270" i="19"/>
  <c r="AB270" i="19"/>
  <c r="Z270" i="19"/>
  <c r="J270" i="19"/>
  <c r="AL270" i="19" s="1"/>
  <c r="H270" i="19"/>
  <c r="BJ268" i="19"/>
  <c r="BH268" i="19"/>
  <c r="BF268" i="19"/>
  <c r="BD268" i="19"/>
  <c r="AW268" i="19"/>
  <c r="BC268" i="19" s="1"/>
  <c r="AP268" i="19"/>
  <c r="AX268" i="19" s="1"/>
  <c r="AV268" i="19" s="1"/>
  <c r="AO268" i="19"/>
  <c r="H268" i="19" s="1"/>
  <c r="AL268" i="19"/>
  <c r="AK268" i="19"/>
  <c r="AJ268" i="19"/>
  <c r="AH268" i="19"/>
  <c r="AG268" i="19"/>
  <c r="AF268" i="19"/>
  <c r="AE268" i="19"/>
  <c r="AD268" i="19"/>
  <c r="AB268" i="19"/>
  <c r="Z268" i="19"/>
  <c r="J268" i="19"/>
  <c r="I268" i="19"/>
  <c r="BJ262" i="19"/>
  <c r="BI262" i="19"/>
  <c r="AC262" i="19" s="1"/>
  <c r="BF262" i="19"/>
  <c r="BD262" i="19"/>
  <c r="AX262" i="19"/>
  <c r="AP262" i="19"/>
  <c r="I262" i="19" s="1"/>
  <c r="AO262" i="19"/>
  <c r="BH262" i="19" s="1"/>
  <c r="AB262" i="19" s="1"/>
  <c r="AK262" i="19"/>
  <c r="AJ262" i="19"/>
  <c r="AH262" i="19"/>
  <c r="AG262" i="19"/>
  <c r="AF262" i="19"/>
  <c r="AE262" i="19"/>
  <c r="AD262" i="19"/>
  <c r="Z262" i="19"/>
  <c r="J262" i="19"/>
  <c r="AL262" i="19" s="1"/>
  <c r="BJ260" i="19"/>
  <c r="BI260" i="19"/>
  <c r="BF260" i="19"/>
  <c r="BD260" i="19"/>
  <c r="AX260" i="19"/>
  <c r="AW260" i="19"/>
  <c r="AV260" i="19" s="1"/>
  <c r="AP260" i="19"/>
  <c r="AO260" i="19"/>
  <c r="BH260" i="19" s="1"/>
  <c r="AB260" i="19" s="1"/>
  <c r="AL260" i="19"/>
  <c r="AK260" i="19"/>
  <c r="AJ260" i="19"/>
  <c r="AH260" i="19"/>
  <c r="AG260" i="19"/>
  <c r="AF260" i="19"/>
  <c r="AE260" i="19"/>
  <c r="AD260" i="19"/>
  <c r="AC260" i="19"/>
  <c r="Z260" i="19"/>
  <c r="J260" i="19"/>
  <c r="I260" i="19"/>
  <c r="H260" i="19"/>
  <c r="BJ256" i="19"/>
  <c r="BH256" i="19"/>
  <c r="AB256" i="19" s="1"/>
  <c r="BF256" i="19"/>
  <c r="BD256" i="19"/>
  <c r="AX256" i="19"/>
  <c r="AP256" i="19"/>
  <c r="BI256" i="19" s="1"/>
  <c r="AC256" i="19" s="1"/>
  <c r="AO256" i="19"/>
  <c r="AK256" i="19"/>
  <c r="AJ256" i="19"/>
  <c r="AH256" i="19"/>
  <c r="AG256" i="19"/>
  <c r="AF256" i="19"/>
  <c r="AE256" i="19"/>
  <c r="AD256" i="19"/>
  <c r="Z256" i="19"/>
  <c r="J256" i="19"/>
  <c r="AL256" i="19" s="1"/>
  <c r="I256" i="19"/>
  <c r="BJ252" i="19"/>
  <c r="BI252" i="19"/>
  <c r="AC252" i="19" s="1"/>
  <c r="BF252" i="19"/>
  <c r="BD252" i="19"/>
  <c r="AP252" i="19"/>
  <c r="AX252" i="19" s="1"/>
  <c r="AO252" i="19"/>
  <c r="H252" i="19" s="1"/>
  <c r="AL252" i="19"/>
  <c r="AK252" i="19"/>
  <c r="AJ252" i="19"/>
  <c r="AH252" i="19"/>
  <c r="AG252" i="19"/>
  <c r="AF252" i="19"/>
  <c r="AE252" i="19"/>
  <c r="AD252" i="19"/>
  <c r="Z252" i="19"/>
  <c r="J252" i="19"/>
  <c r="I252" i="19"/>
  <c r="BJ248" i="19"/>
  <c r="BI248" i="19"/>
  <c r="AC248" i="19" s="1"/>
  <c r="BF248" i="19"/>
  <c r="BD248" i="19"/>
  <c r="AP248" i="19"/>
  <c r="I248" i="19" s="1"/>
  <c r="AO248" i="19"/>
  <c r="AW248" i="19" s="1"/>
  <c r="AK248" i="19"/>
  <c r="AJ248" i="19"/>
  <c r="AH248" i="19"/>
  <c r="AG248" i="19"/>
  <c r="AF248" i="19"/>
  <c r="AE248" i="19"/>
  <c r="AD248" i="19"/>
  <c r="Z248" i="19"/>
  <c r="J248" i="19"/>
  <c r="AL248" i="19" s="1"/>
  <c r="H248" i="19"/>
  <c r="BJ244" i="19"/>
  <c r="BI244" i="19"/>
  <c r="AC244" i="19" s="1"/>
  <c r="BH244" i="19"/>
  <c r="BF244" i="19"/>
  <c r="BD244" i="19"/>
  <c r="BC244" i="19"/>
  <c r="AW244" i="19"/>
  <c r="AV244" i="19"/>
  <c r="AP244" i="19"/>
  <c r="AX244" i="19" s="1"/>
  <c r="AO244" i="19"/>
  <c r="AL244" i="19"/>
  <c r="AK244" i="19"/>
  <c r="AJ244" i="19"/>
  <c r="AH244" i="19"/>
  <c r="AG244" i="19"/>
  <c r="AF244" i="19"/>
  <c r="AE244" i="19"/>
  <c r="AD244" i="19"/>
  <c r="AB244" i="19"/>
  <c r="Z244" i="19"/>
  <c r="J244" i="19"/>
  <c r="I244" i="19"/>
  <c r="H244" i="19"/>
  <c r="BJ240" i="19"/>
  <c r="BI240" i="19"/>
  <c r="AC240" i="19" s="1"/>
  <c r="BF240" i="19"/>
  <c r="BD240" i="19"/>
  <c r="AX240" i="19"/>
  <c r="AP240" i="19"/>
  <c r="AO240" i="19"/>
  <c r="AL240" i="19"/>
  <c r="AU232" i="19" s="1"/>
  <c r="AK240" i="19"/>
  <c r="AJ240" i="19"/>
  <c r="AH240" i="19"/>
  <c r="AG240" i="19"/>
  <c r="AF240" i="19"/>
  <c r="AE240" i="19"/>
  <c r="AD240" i="19"/>
  <c r="Z240" i="19"/>
  <c r="J240" i="19"/>
  <c r="I240" i="19"/>
  <c r="H240" i="19"/>
  <c r="BJ233" i="19"/>
  <c r="BF233" i="19"/>
  <c r="BD233" i="19"/>
  <c r="AP233" i="19"/>
  <c r="BI233" i="19" s="1"/>
  <c r="AC233" i="19" s="1"/>
  <c r="AO233" i="19"/>
  <c r="AL233" i="19"/>
  <c r="AK233" i="19"/>
  <c r="AJ233" i="19"/>
  <c r="AH233" i="19"/>
  <c r="AG233" i="19"/>
  <c r="AF233" i="19"/>
  <c r="AE233" i="19"/>
  <c r="AD233" i="19"/>
  <c r="Z233" i="19"/>
  <c r="J233" i="19"/>
  <c r="I233" i="19"/>
  <c r="H233" i="19"/>
  <c r="AS232" i="19"/>
  <c r="BJ230" i="19"/>
  <c r="BF230" i="19"/>
  <c r="BD230" i="19"/>
  <c r="AX230" i="19"/>
  <c r="AP230" i="19"/>
  <c r="BI230" i="19" s="1"/>
  <c r="AE230" i="19" s="1"/>
  <c r="AO230" i="19"/>
  <c r="AL230" i="19"/>
  <c r="AK230" i="19"/>
  <c r="AJ230" i="19"/>
  <c r="AH230" i="19"/>
  <c r="AG230" i="19"/>
  <c r="AF230" i="19"/>
  <c r="AC230" i="19"/>
  <c r="AB230" i="19"/>
  <c r="Z230" i="19"/>
  <c r="J230" i="19"/>
  <c r="I230" i="19"/>
  <c r="BJ228" i="19"/>
  <c r="BH228" i="19"/>
  <c r="AD228" i="19" s="1"/>
  <c r="BF228" i="19"/>
  <c r="BD228" i="19"/>
  <c r="AP228" i="19"/>
  <c r="I228" i="19" s="1"/>
  <c r="AO228" i="19"/>
  <c r="H228" i="19" s="1"/>
  <c r="AL228" i="19"/>
  <c r="AK228" i="19"/>
  <c r="AJ228" i="19"/>
  <c r="AH228" i="19"/>
  <c r="AG228" i="19"/>
  <c r="AF228" i="19"/>
  <c r="AC228" i="19"/>
  <c r="AB228" i="19"/>
  <c r="Z228" i="19"/>
  <c r="J228" i="19"/>
  <c r="BJ225" i="19"/>
  <c r="BH225" i="19"/>
  <c r="BF225" i="19"/>
  <c r="BD225" i="19"/>
  <c r="AP225" i="19"/>
  <c r="I225" i="19" s="1"/>
  <c r="AO225" i="19"/>
  <c r="AW225" i="19" s="1"/>
  <c r="AK225" i="19"/>
  <c r="AJ225" i="19"/>
  <c r="AH225" i="19"/>
  <c r="AG225" i="19"/>
  <c r="AF225" i="19"/>
  <c r="AD225" i="19"/>
  <c r="AC225" i="19"/>
  <c r="AB225" i="19"/>
  <c r="Z225" i="19"/>
  <c r="J225" i="19"/>
  <c r="H225" i="19"/>
  <c r="BJ222" i="19"/>
  <c r="BI222" i="19"/>
  <c r="BH222" i="19"/>
  <c r="AD222" i="19" s="1"/>
  <c r="BF222" i="19"/>
  <c r="BD222" i="19"/>
  <c r="BC222" i="19"/>
  <c r="AW222" i="19"/>
  <c r="AV222" i="19"/>
  <c r="AP222" i="19"/>
  <c r="AX222" i="19" s="1"/>
  <c r="AO222" i="19"/>
  <c r="AL222" i="19"/>
  <c r="AK222" i="19"/>
  <c r="AT221" i="19" s="1"/>
  <c r="AJ222" i="19"/>
  <c r="AH222" i="19"/>
  <c r="AG222" i="19"/>
  <c r="AF222" i="19"/>
  <c r="AE222" i="19"/>
  <c r="AC222" i="19"/>
  <c r="AB222" i="19"/>
  <c r="Z222" i="19"/>
  <c r="J222" i="19"/>
  <c r="I222" i="19"/>
  <c r="I221" i="19" s="1"/>
  <c r="H222" i="19"/>
  <c r="AS221" i="19"/>
  <c r="BJ219" i="19"/>
  <c r="BI219" i="19"/>
  <c r="BF219" i="19"/>
  <c r="BD219" i="19"/>
  <c r="AX219" i="19"/>
  <c r="AP219" i="19"/>
  <c r="I219" i="19" s="1"/>
  <c r="AO219" i="19"/>
  <c r="BH219" i="19" s="1"/>
  <c r="AB219" i="19" s="1"/>
  <c r="AK219" i="19"/>
  <c r="AT218" i="19" s="1"/>
  <c r="AJ219" i="19"/>
  <c r="AS218" i="19" s="1"/>
  <c r="AH219" i="19"/>
  <c r="AG219" i="19"/>
  <c r="AF219" i="19"/>
  <c r="AE219" i="19"/>
  <c r="AD219" i="19"/>
  <c r="AC219" i="19"/>
  <c r="Z219" i="19"/>
  <c r="J219" i="19"/>
  <c r="AL219" i="19" s="1"/>
  <c r="H219" i="19"/>
  <c r="H218" i="19" s="1"/>
  <c r="AU218" i="19"/>
  <c r="J218" i="19"/>
  <c r="I218" i="19"/>
  <c r="BJ216" i="19"/>
  <c r="BF216" i="19"/>
  <c r="BD216" i="19"/>
  <c r="AP216" i="19"/>
  <c r="AO216" i="19"/>
  <c r="BH216" i="19" s="1"/>
  <c r="AB216" i="19" s="1"/>
  <c r="AL216" i="19"/>
  <c r="AK216" i="19"/>
  <c r="AJ216" i="19"/>
  <c r="AH216" i="19"/>
  <c r="AG216" i="19"/>
  <c r="AF216" i="19"/>
  <c r="AE216" i="19"/>
  <c r="AD216" i="19"/>
  <c r="Z216" i="19"/>
  <c r="J216" i="19"/>
  <c r="H216" i="19"/>
  <c r="BJ214" i="19"/>
  <c r="BF214" i="19"/>
  <c r="BD214" i="19"/>
  <c r="AX214" i="19"/>
  <c r="AP214" i="19"/>
  <c r="BI214" i="19" s="1"/>
  <c r="AC214" i="19" s="1"/>
  <c r="AO214" i="19"/>
  <c r="AL214" i="19"/>
  <c r="AK214" i="19"/>
  <c r="AJ214" i="19"/>
  <c r="AH214" i="19"/>
  <c r="AG214" i="19"/>
  <c r="AF214" i="19"/>
  <c r="AE214" i="19"/>
  <c r="AD214" i="19"/>
  <c r="Z214" i="19"/>
  <c r="J214" i="19"/>
  <c r="I214" i="19"/>
  <c r="H214" i="19"/>
  <c r="BJ212" i="19"/>
  <c r="BI212" i="19"/>
  <c r="AC212" i="19" s="1"/>
  <c r="BF212" i="19"/>
  <c r="BD212" i="19"/>
  <c r="AP212" i="19"/>
  <c r="AO212" i="19"/>
  <c r="AK212" i="19"/>
  <c r="AJ212" i="19"/>
  <c r="AH212" i="19"/>
  <c r="AG212" i="19"/>
  <c r="AF212" i="19"/>
  <c r="AE212" i="19"/>
  <c r="AD212" i="19"/>
  <c r="Z212" i="19"/>
  <c r="J212" i="19"/>
  <c r="AL212" i="19" s="1"/>
  <c r="BJ210" i="19"/>
  <c r="BF210" i="19"/>
  <c r="BD210" i="19"/>
  <c r="AX210" i="19"/>
  <c r="AP210" i="19"/>
  <c r="AO210" i="19"/>
  <c r="AW210" i="19" s="1"/>
  <c r="BC210" i="19" s="1"/>
  <c r="AK210" i="19"/>
  <c r="AJ210" i="19"/>
  <c r="AH210" i="19"/>
  <c r="AG210" i="19"/>
  <c r="AF210" i="19"/>
  <c r="AE210" i="19"/>
  <c r="AD210" i="19"/>
  <c r="Z210" i="19"/>
  <c r="J210" i="19"/>
  <c r="AL210" i="19" s="1"/>
  <c r="AS209" i="19"/>
  <c r="BJ207" i="19"/>
  <c r="BH207" i="19"/>
  <c r="BF207" i="19"/>
  <c r="BD207" i="19"/>
  <c r="AW207" i="19"/>
  <c r="AP207" i="19"/>
  <c r="AO207" i="19"/>
  <c r="AL207" i="19"/>
  <c r="AK207" i="19"/>
  <c r="AJ207" i="19"/>
  <c r="AH207" i="19"/>
  <c r="AG207" i="19"/>
  <c r="AF207" i="19"/>
  <c r="AE207" i="19"/>
  <c r="AD207" i="19"/>
  <c r="AB207" i="19"/>
  <c r="Z207" i="19"/>
  <c r="J207" i="19"/>
  <c r="H207" i="19"/>
  <c r="BJ205" i="19"/>
  <c r="BI205" i="19"/>
  <c r="AC205" i="19" s="1"/>
  <c r="BH205" i="19"/>
  <c r="AB205" i="19" s="1"/>
  <c r="BF205" i="19"/>
  <c r="BD205" i="19"/>
  <c r="AX205" i="19"/>
  <c r="AV205" i="19"/>
  <c r="AP205" i="19"/>
  <c r="AO205" i="19"/>
  <c r="AW205" i="19" s="1"/>
  <c r="BC205" i="19" s="1"/>
  <c r="AK205" i="19"/>
  <c r="AJ205" i="19"/>
  <c r="AH205" i="19"/>
  <c r="AG205" i="19"/>
  <c r="AF205" i="19"/>
  <c r="AE205" i="19"/>
  <c r="AD205" i="19"/>
  <c r="Z205" i="19"/>
  <c r="J205" i="19"/>
  <c r="AL205" i="19" s="1"/>
  <c r="I205" i="19"/>
  <c r="H205" i="19"/>
  <c r="BJ203" i="19"/>
  <c r="BF203" i="19"/>
  <c r="BD203" i="19"/>
  <c r="AP203" i="19"/>
  <c r="AO203" i="19"/>
  <c r="AK203" i="19"/>
  <c r="AJ203" i="19"/>
  <c r="AH203" i="19"/>
  <c r="AG203" i="19"/>
  <c r="AF203" i="19"/>
  <c r="AE203" i="19"/>
  <c r="AD203" i="19"/>
  <c r="Z203" i="19"/>
  <c r="J203" i="19"/>
  <c r="AL203" i="19" s="1"/>
  <c r="H203" i="19"/>
  <c r="BJ201" i="19"/>
  <c r="BH201" i="19"/>
  <c r="BF201" i="19"/>
  <c r="BD201" i="19"/>
  <c r="AP201" i="19"/>
  <c r="AX201" i="19" s="1"/>
  <c r="AO201" i="19"/>
  <c r="AW201" i="19" s="1"/>
  <c r="AL201" i="19"/>
  <c r="AK201" i="19"/>
  <c r="AT200" i="19" s="1"/>
  <c r="AJ201" i="19"/>
  <c r="AH201" i="19"/>
  <c r="AG201" i="19"/>
  <c r="AF201" i="19"/>
  <c r="AE201" i="19"/>
  <c r="AD201" i="19"/>
  <c r="AB201" i="19"/>
  <c r="Z201" i="19"/>
  <c r="J201" i="19"/>
  <c r="H201" i="19"/>
  <c r="H200" i="19" s="1"/>
  <c r="J200" i="19"/>
  <c r="BJ198" i="19"/>
  <c r="BF198" i="19"/>
  <c r="BD198" i="19"/>
  <c r="AP198" i="19"/>
  <c r="AX198" i="19" s="1"/>
  <c r="AO198" i="19"/>
  <c r="AL198" i="19"/>
  <c r="AK198" i="19"/>
  <c r="AJ198" i="19"/>
  <c r="AH198" i="19"/>
  <c r="AE198" i="19"/>
  <c r="AD198" i="19"/>
  <c r="AC198" i="19"/>
  <c r="AB198" i="19"/>
  <c r="Z198" i="19"/>
  <c r="J198" i="19"/>
  <c r="J188" i="19" s="1"/>
  <c r="I198" i="19"/>
  <c r="BJ189" i="19"/>
  <c r="BI189" i="19"/>
  <c r="AC189" i="19" s="1"/>
  <c r="BH189" i="19"/>
  <c r="BF189" i="19"/>
  <c r="BD189" i="19"/>
  <c r="AX189" i="19"/>
  <c r="AV189" i="19" s="1"/>
  <c r="AP189" i="19"/>
  <c r="I189" i="19" s="1"/>
  <c r="AO189" i="19"/>
  <c r="AW189" i="19" s="1"/>
  <c r="AK189" i="19"/>
  <c r="AT188" i="19" s="1"/>
  <c r="AJ189" i="19"/>
  <c r="AH189" i="19"/>
  <c r="AG189" i="19"/>
  <c r="AF189" i="19"/>
  <c r="AE189" i="19"/>
  <c r="AD189" i="19"/>
  <c r="AB189" i="19"/>
  <c r="Z189" i="19"/>
  <c r="J189" i="19"/>
  <c r="AL189" i="19" s="1"/>
  <c r="H189" i="19"/>
  <c r="BJ184" i="19"/>
  <c r="BI184" i="19"/>
  <c r="AC184" i="19" s="1"/>
  <c r="BH184" i="19"/>
  <c r="AB184" i="19" s="1"/>
  <c r="BF184" i="19"/>
  <c r="BD184" i="19"/>
  <c r="AX184" i="19"/>
  <c r="BC184" i="19" s="1"/>
  <c r="AW184" i="19"/>
  <c r="AV184" i="19"/>
  <c r="AP184" i="19"/>
  <c r="I184" i="19" s="1"/>
  <c r="AO184" i="19"/>
  <c r="AL184" i="19"/>
  <c r="AK184" i="19"/>
  <c r="AJ184" i="19"/>
  <c r="AS183" i="19" s="1"/>
  <c r="AH184" i="19"/>
  <c r="AG184" i="19"/>
  <c r="AF184" i="19"/>
  <c r="AE184" i="19"/>
  <c r="AD184" i="19"/>
  <c r="Z184" i="19"/>
  <c r="J184" i="19"/>
  <c r="J183" i="19" s="1"/>
  <c r="H184" i="19"/>
  <c r="AU183" i="19"/>
  <c r="AT183" i="19"/>
  <c r="I183" i="19"/>
  <c r="H183" i="19"/>
  <c r="BJ181" i="19"/>
  <c r="BI181" i="19"/>
  <c r="BF181" i="19"/>
  <c r="BD181" i="19"/>
  <c r="AX181" i="19"/>
  <c r="AP181" i="19"/>
  <c r="AO181" i="19"/>
  <c r="H181" i="19" s="1"/>
  <c r="AL181" i="19"/>
  <c r="AK181" i="19"/>
  <c r="AJ181" i="19"/>
  <c r="AH181" i="19"/>
  <c r="AG181" i="19"/>
  <c r="AF181" i="19"/>
  <c r="AE181" i="19"/>
  <c r="AD181" i="19"/>
  <c r="AC181" i="19"/>
  <c r="Z181" i="19"/>
  <c r="J181" i="19"/>
  <c r="J176" i="19" s="1"/>
  <c r="I181" i="19"/>
  <c r="BJ179" i="19"/>
  <c r="BF179" i="19"/>
  <c r="BD179" i="19"/>
  <c r="AW179" i="19"/>
  <c r="AP179" i="19"/>
  <c r="AO179" i="19"/>
  <c r="BH179" i="19" s="1"/>
  <c r="AB179" i="19" s="1"/>
  <c r="AL179" i="19"/>
  <c r="AK179" i="19"/>
  <c r="AT176" i="19" s="1"/>
  <c r="AJ179" i="19"/>
  <c r="AH179" i="19"/>
  <c r="AG179" i="19"/>
  <c r="AF179" i="19"/>
  <c r="AE179" i="19"/>
  <c r="AD179" i="19"/>
  <c r="Z179" i="19"/>
  <c r="J179" i="19"/>
  <c r="I179" i="19"/>
  <c r="I176" i="19" s="1"/>
  <c r="H179" i="19"/>
  <c r="BJ177" i="19"/>
  <c r="BF177" i="19"/>
  <c r="BD177" i="19"/>
  <c r="AX177" i="19"/>
  <c r="AP177" i="19"/>
  <c r="BI177" i="19" s="1"/>
  <c r="AC177" i="19" s="1"/>
  <c r="AO177" i="19"/>
  <c r="AL177" i="19"/>
  <c r="AK177" i="19"/>
  <c r="AJ177" i="19"/>
  <c r="AH177" i="19"/>
  <c r="AG177" i="19"/>
  <c r="AF177" i="19"/>
  <c r="AE177" i="19"/>
  <c r="AD177" i="19"/>
  <c r="Z177" i="19"/>
  <c r="J177" i="19"/>
  <c r="I177" i="19"/>
  <c r="H177" i="19"/>
  <c r="BJ174" i="19"/>
  <c r="BF174" i="19"/>
  <c r="BD174" i="19"/>
  <c r="AP174" i="19"/>
  <c r="I174" i="19" s="1"/>
  <c r="I173" i="19" s="1"/>
  <c r="AO174" i="19"/>
  <c r="AK174" i="19"/>
  <c r="AJ174" i="19"/>
  <c r="AH174" i="19"/>
  <c r="AG174" i="19"/>
  <c r="AF174" i="19"/>
  <c r="AE174" i="19"/>
  <c r="AD174" i="19"/>
  <c r="Z174" i="19"/>
  <c r="J174" i="19"/>
  <c r="AL174" i="19" s="1"/>
  <c r="AU173" i="19"/>
  <c r="AT173" i="19"/>
  <c r="AS173" i="19"/>
  <c r="BJ154" i="19"/>
  <c r="BF154" i="19"/>
  <c r="BD154" i="19"/>
  <c r="AP154" i="19"/>
  <c r="AO154" i="19"/>
  <c r="AK154" i="19"/>
  <c r="AT150" i="19" s="1"/>
  <c r="AJ154" i="19"/>
  <c r="AH154" i="19"/>
  <c r="AG154" i="19"/>
  <c r="AF154" i="19"/>
  <c r="AE154" i="19"/>
  <c r="AD154" i="19"/>
  <c r="Z154" i="19"/>
  <c r="J154" i="19"/>
  <c r="BJ151" i="19"/>
  <c r="BH151" i="19"/>
  <c r="BF151" i="19"/>
  <c r="BD151" i="19"/>
  <c r="AW151" i="19"/>
  <c r="BC151" i="19" s="1"/>
  <c r="AP151" i="19"/>
  <c r="AX151" i="19" s="1"/>
  <c r="AV151" i="19" s="1"/>
  <c r="AO151" i="19"/>
  <c r="AL151" i="19"/>
  <c r="AK151" i="19"/>
  <c r="AJ151" i="19"/>
  <c r="AH151" i="19"/>
  <c r="AG151" i="19"/>
  <c r="AF151" i="19"/>
  <c r="AE151" i="19"/>
  <c r="AD151" i="19"/>
  <c r="AB151" i="19"/>
  <c r="Z151" i="19"/>
  <c r="J151" i="19"/>
  <c r="I151" i="19"/>
  <c r="H151" i="19"/>
  <c r="AS150" i="19"/>
  <c r="BJ148" i="19"/>
  <c r="BI148" i="19"/>
  <c r="AC148" i="19" s="1"/>
  <c r="BH148" i="19"/>
  <c r="BF148" i="19"/>
  <c r="BD148" i="19"/>
  <c r="AX148" i="19"/>
  <c r="AV148" i="19"/>
  <c r="AP148" i="19"/>
  <c r="AO148" i="19"/>
  <c r="AW148" i="19" s="1"/>
  <c r="AK148" i="19"/>
  <c r="AJ148" i="19"/>
  <c r="AH148" i="19"/>
  <c r="AG148" i="19"/>
  <c r="AF148" i="19"/>
  <c r="AE148" i="19"/>
  <c r="AD148" i="19"/>
  <c r="AB148" i="19"/>
  <c r="Z148" i="19"/>
  <c r="J148" i="19"/>
  <c r="AL148" i="19" s="1"/>
  <c r="I148" i="19"/>
  <c r="H148" i="19"/>
  <c r="BJ146" i="19"/>
  <c r="BF146" i="19"/>
  <c r="BD146" i="19"/>
  <c r="AW146" i="19"/>
  <c r="AP146" i="19"/>
  <c r="I146" i="19" s="1"/>
  <c r="AO146" i="19"/>
  <c r="BH146" i="19" s="1"/>
  <c r="AB146" i="19" s="1"/>
  <c r="AL146" i="19"/>
  <c r="AK146" i="19"/>
  <c r="AJ146" i="19"/>
  <c r="AH146" i="19"/>
  <c r="AG146" i="19"/>
  <c r="AF146" i="19"/>
  <c r="AE146" i="19"/>
  <c r="AD146" i="19"/>
  <c r="Z146" i="19"/>
  <c r="J146" i="19"/>
  <c r="H146" i="19"/>
  <c r="BJ144" i="19"/>
  <c r="BH144" i="19"/>
  <c r="BF144" i="19"/>
  <c r="BD144" i="19"/>
  <c r="AP144" i="19"/>
  <c r="AO144" i="19"/>
  <c r="AW144" i="19" s="1"/>
  <c r="AL144" i="19"/>
  <c r="AK144" i="19"/>
  <c r="AJ144" i="19"/>
  <c r="AH144" i="19"/>
  <c r="AG144" i="19"/>
  <c r="AF144" i="19"/>
  <c r="AE144" i="19"/>
  <c r="AD144" i="19"/>
  <c r="AB144" i="19"/>
  <c r="Z144" i="19"/>
  <c r="J144" i="19"/>
  <c r="H144" i="19"/>
  <c r="BJ140" i="19"/>
  <c r="BI140" i="19"/>
  <c r="AC140" i="19" s="1"/>
  <c r="BF140" i="19"/>
  <c r="BD140" i="19"/>
  <c r="AP140" i="19"/>
  <c r="AX140" i="19" s="1"/>
  <c r="AO140" i="19"/>
  <c r="AK140" i="19"/>
  <c r="AJ140" i="19"/>
  <c r="AH140" i="19"/>
  <c r="AG140" i="19"/>
  <c r="AF140" i="19"/>
  <c r="AE140" i="19"/>
  <c r="AD140" i="19"/>
  <c r="Z140" i="19"/>
  <c r="J140" i="19"/>
  <c r="AL140" i="19" s="1"/>
  <c r="BJ122" i="19"/>
  <c r="BF122" i="19"/>
  <c r="BD122" i="19"/>
  <c r="AP122" i="19"/>
  <c r="AO122" i="19"/>
  <c r="AK122" i="19"/>
  <c r="AJ122" i="19"/>
  <c r="AS116" i="19" s="1"/>
  <c r="AH122" i="19"/>
  <c r="AG122" i="19"/>
  <c r="AF122" i="19"/>
  <c r="AE122" i="19"/>
  <c r="AD122" i="19"/>
  <c r="Z122" i="19"/>
  <c r="J122" i="19"/>
  <c r="H122" i="19"/>
  <c r="BJ117" i="19"/>
  <c r="BH117" i="19"/>
  <c r="AB117" i="19" s="1"/>
  <c r="BF117" i="19"/>
  <c r="BD117" i="19"/>
  <c r="AW117" i="19"/>
  <c r="AP117" i="19"/>
  <c r="AX117" i="19" s="1"/>
  <c r="AO117" i="19"/>
  <c r="AL117" i="19"/>
  <c r="AK117" i="19"/>
  <c r="AT116" i="19" s="1"/>
  <c r="AJ117" i="19"/>
  <c r="AH117" i="19"/>
  <c r="AG117" i="19"/>
  <c r="AF117" i="19"/>
  <c r="AE117" i="19"/>
  <c r="AD117" i="19"/>
  <c r="Z117" i="19"/>
  <c r="J117" i="19"/>
  <c r="I117" i="19"/>
  <c r="H117" i="19"/>
  <c r="BJ114" i="19"/>
  <c r="BI114" i="19"/>
  <c r="BF114" i="19"/>
  <c r="BD114" i="19"/>
  <c r="AX114" i="19"/>
  <c r="AW114" i="19"/>
  <c r="AV114" i="19" s="1"/>
  <c r="AP114" i="19"/>
  <c r="AO114" i="19"/>
  <c r="BH114" i="19" s="1"/>
  <c r="AB114" i="19" s="1"/>
  <c r="AL114" i="19"/>
  <c r="AK114" i="19"/>
  <c r="AJ114" i="19"/>
  <c r="AH114" i="19"/>
  <c r="AG114" i="19"/>
  <c r="AF114" i="19"/>
  <c r="AE114" i="19"/>
  <c r="AD114" i="19"/>
  <c r="AC114" i="19"/>
  <c r="Z114" i="19"/>
  <c r="J114" i="19"/>
  <c r="I114" i="19"/>
  <c r="H114" i="19"/>
  <c r="BJ112" i="19"/>
  <c r="BF112" i="19"/>
  <c r="BD112" i="19"/>
  <c r="AX112" i="19"/>
  <c r="AP112" i="19"/>
  <c r="BI112" i="19" s="1"/>
  <c r="AC112" i="19" s="1"/>
  <c r="AO112" i="19"/>
  <c r="AW112" i="19" s="1"/>
  <c r="AK112" i="19"/>
  <c r="AJ112" i="19"/>
  <c r="AH112" i="19"/>
  <c r="AG112" i="19"/>
  <c r="AF112" i="19"/>
  <c r="AE112" i="19"/>
  <c r="AD112" i="19"/>
  <c r="Z112" i="19"/>
  <c r="J112" i="19"/>
  <c r="AL112" i="19" s="1"/>
  <c r="I112" i="19"/>
  <c r="BJ108" i="19"/>
  <c r="BH108" i="19"/>
  <c r="BF108" i="19"/>
  <c r="BD108" i="19"/>
  <c r="AP108" i="19"/>
  <c r="BI108" i="19" s="1"/>
  <c r="AC108" i="19" s="1"/>
  <c r="AO108" i="19"/>
  <c r="AK108" i="19"/>
  <c r="AJ108" i="19"/>
  <c r="AH108" i="19"/>
  <c r="AG108" i="19"/>
  <c r="AF108" i="19"/>
  <c r="AE108" i="19"/>
  <c r="AD108" i="19"/>
  <c r="AB108" i="19"/>
  <c r="Z108" i="19"/>
  <c r="J108" i="19"/>
  <c r="AL108" i="19" s="1"/>
  <c r="I108" i="19"/>
  <c r="BJ106" i="19"/>
  <c r="BF106" i="19"/>
  <c r="BD106" i="19"/>
  <c r="AP106" i="19"/>
  <c r="AO106" i="19"/>
  <c r="AK106" i="19"/>
  <c r="AJ106" i="19"/>
  <c r="AH106" i="19"/>
  <c r="AG106" i="19"/>
  <c r="AF106" i="19"/>
  <c r="AE106" i="19"/>
  <c r="AD106" i="19"/>
  <c r="Z106" i="19"/>
  <c r="J106" i="19"/>
  <c r="AL106" i="19" s="1"/>
  <c r="I106" i="19"/>
  <c r="BJ103" i="19"/>
  <c r="BF103" i="19"/>
  <c r="BD103" i="19"/>
  <c r="AP103" i="19"/>
  <c r="AX103" i="19" s="1"/>
  <c r="AO103" i="19"/>
  <c r="BH103" i="19" s="1"/>
  <c r="AB103" i="19" s="1"/>
  <c r="AK103" i="19"/>
  <c r="AJ103" i="19"/>
  <c r="AH103" i="19"/>
  <c r="AG103" i="19"/>
  <c r="AF103" i="19"/>
  <c r="AE103" i="19"/>
  <c r="AD103" i="19"/>
  <c r="Z103" i="19"/>
  <c r="J103" i="19"/>
  <c r="AL103" i="19" s="1"/>
  <c r="I103" i="19"/>
  <c r="BJ101" i="19"/>
  <c r="BI101" i="19"/>
  <c r="AC101" i="19" s="1"/>
  <c r="BF101" i="19"/>
  <c r="BD101" i="19"/>
  <c r="AP101" i="19"/>
  <c r="AX101" i="19" s="1"/>
  <c r="AO101" i="19"/>
  <c r="AL101" i="19"/>
  <c r="AK101" i="19"/>
  <c r="AJ101" i="19"/>
  <c r="AH101" i="19"/>
  <c r="AG101" i="19"/>
  <c r="AF101" i="19"/>
  <c r="AE101" i="19"/>
  <c r="AD101" i="19"/>
  <c r="Z101" i="19"/>
  <c r="J101" i="19"/>
  <c r="I101" i="19"/>
  <c r="BJ98" i="19"/>
  <c r="BH98" i="19"/>
  <c r="AB98" i="19" s="1"/>
  <c r="BF98" i="19"/>
  <c r="BD98" i="19"/>
  <c r="AX98" i="19"/>
  <c r="AP98" i="19"/>
  <c r="AO98" i="19"/>
  <c r="AW98" i="19" s="1"/>
  <c r="AK98" i="19"/>
  <c r="AJ98" i="19"/>
  <c r="AH98" i="19"/>
  <c r="AG98" i="19"/>
  <c r="AF98" i="19"/>
  <c r="AE98" i="19"/>
  <c r="AD98" i="19"/>
  <c r="Z98" i="19"/>
  <c r="J98" i="19"/>
  <c r="AL98" i="19" s="1"/>
  <c r="H98" i="19"/>
  <c r="BJ95" i="19"/>
  <c r="BI95" i="19"/>
  <c r="BH95" i="19"/>
  <c r="AB95" i="19" s="1"/>
  <c r="BF95" i="19"/>
  <c r="BD95" i="19"/>
  <c r="AX95" i="19"/>
  <c r="AW95" i="19"/>
  <c r="AP95" i="19"/>
  <c r="AO95" i="19"/>
  <c r="H95" i="19" s="1"/>
  <c r="AL95" i="19"/>
  <c r="AK95" i="19"/>
  <c r="AJ95" i="19"/>
  <c r="AH95" i="19"/>
  <c r="AG95" i="19"/>
  <c r="AF95" i="19"/>
  <c r="AE95" i="19"/>
  <c r="AD95" i="19"/>
  <c r="AC95" i="19"/>
  <c r="Z95" i="19"/>
  <c r="J95" i="19"/>
  <c r="I95" i="19"/>
  <c r="BJ93" i="19"/>
  <c r="BI93" i="19"/>
  <c r="BH93" i="19"/>
  <c r="BF93" i="19"/>
  <c r="BD93" i="19"/>
  <c r="AX93" i="19"/>
  <c r="AW93" i="19"/>
  <c r="AP93" i="19"/>
  <c r="I93" i="19" s="1"/>
  <c r="AO93" i="19"/>
  <c r="AK93" i="19"/>
  <c r="AT92" i="19" s="1"/>
  <c r="AJ93" i="19"/>
  <c r="AH93" i="19"/>
  <c r="AG93" i="19"/>
  <c r="AF93" i="19"/>
  <c r="AE93" i="19"/>
  <c r="AD93" i="19"/>
  <c r="AC93" i="19"/>
  <c r="AB93" i="19"/>
  <c r="Z93" i="19"/>
  <c r="J93" i="19"/>
  <c r="AL93" i="19" s="1"/>
  <c r="H93" i="19"/>
  <c r="BJ90" i="19"/>
  <c r="BI90" i="19"/>
  <c r="AC90" i="19" s="1"/>
  <c r="BF90" i="19"/>
  <c r="BD90" i="19"/>
  <c r="AW90" i="19"/>
  <c r="AP90" i="19"/>
  <c r="AX90" i="19" s="1"/>
  <c r="AO90" i="19"/>
  <c r="BH90" i="19" s="1"/>
  <c r="AB90" i="19" s="1"/>
  <c r="AL90" i="19"/>
  <c r="AK90" i="19"/>
  <c r="AJ90" i="19"/>
  <c r="AH90" i="19"/>
  <c r="AG90" i="19"/>
  <c r="AF90" i="19"/>
  <c r="AE90" i="19"/>
  <c r="AD90" i="19"/>
  <c r="Z90" i="19"/>
  <c r="J90" i="19"/>
  <c r="H90" i="19"/>
  <c r="BJ81" i="19"/>
  <c r="BH81" i="19"/>
  <c r="BF81" i="19"/>
  <c r="BD81" i="19"/>
  <c r="AX81" i="19"/>
  <c r="BC81" i="19" s="1"/>
  <c r="AP81" i="19"/>
  <c r="BI81" i="19" s="1"/>
  <c r="AC81" i="19" s="1"/>
  <c r="AO81" i="19"/>
  <c r="AW81" i="19" s="1"/>
  <c r="AV81" i="19" s="1"/>
  <c r="AL81" i="19"/>
  <c r="AK81" i="19"/>
  <c r="AJ81" i="19"/>
  <c r="AH81" i="19"/>
  <c r="AG81" i="19"/>
  <c r="AF81" i="19"/>
  <c r="AE81" i="19"/>
  <c r="AD81" i="19"/>
  <c r="AB81" i="19"/>
  <c r="Z81" i="19"/>
  <c r="J81" i="19"/>
  <c r="H81" i="19"/>
  <c r="BJ79" i="19"/>
  <c r="BF79" i="19"/>
  <c r="BD79" i="19"/>
  <c r="AW79" i="19"/>
  <c r="AP79" i="19"/>
  <c r="AO79" i="19"/>
  <c r="AL79" i="19"/>
  <c r="AK79" i="19"/>
  <c r="AJ79" i="19"/>
  <c r="AS74" i="19" s="1"/>
  <c r="AH79" i="19"/>
  <c r="AG79" i="19"/>
  <c r="AF79" i="19"/>
  <c r="AE79" i="19"/>
  <c r="AD79" i="19"/>
  <c r="Z79" i="19"/>
  <c r="J79" i="19"/>
  <c r="BJ77" i="19"/>
  <c r="BF77" i="19"/>
  <c r="BD77" i="19"/>
  <c r="AP77" i="19"/>
  <c r="AO77" i="19"/>
  <c r="AK77" i="19"/>
  <c r="AT74" i="19" s="1"/>
  <c r="AJ77" i="19"/>
  <c r="AH77" i="19"/>
  <c r="AG77" i="19"/>
  <c r="AF77" i="19"/>
  <c r="AE77" i="19"/>
  <c r="AD77" i="19"/>
  <c r="Z77" i="19"/>
  <c r="J77" i="19"/>
  <c r="AL77" i="19" s="1"/>
  <c r="BJ75" i="19"/>
  <c r="BH75" i="19"/>
  <c r="BF75" i="19"/>
  <c r="BD75" i="19"/>
  <c r="AW75" i="19"/>
  <c r="AP75" i="19"/>
  <c r="BI75" i="19" s="1"/>
  <c r="AC75" i="19" s="1"/>
  <c r="AO75" i="19"/>
  <c r="H75" i="19" s="1"/>
  <c r="AL75" i="19"/>
  <c r="AK75" i="19"/>
  <c r="AJ75" i="19"/>
  <c r="AH75" i="19"/>
  <c r="AG75" i="19"/>
  <c r="AF75" i="19"/>
  <c r="AE75" i="19"/>
  <c r="AD75" i="19"/>
  <c r="AB75" i="19"/>
  <c r="Z75" i="19"/>
  <c r="J75" i="19"/>
  <c r="J74" i="19" s="1"/>
  <c r="I75" i="19"/>
  <c r="AU74" i="19"/>
  <c r="BJ72" i="19"/>
  <c r="BI72" i="19"/>
  <c r="BH72" i="19"/>
  <c r="BF72" i="19"/>
  <c r="BD72" i="19"/>
  <c r="AX72" i="19"/>
  <c r="AW72" i="19"/>
  <c r="BC72" i="19" s="1"/>
  <c r="AV72" i="19"/>
  <c r="AP72" i="19"/>
  <c r="AO72" i="19"/>
  <c r="AK72" i="19"/>
  <c r="AJ72" i="19"/>
  <c r="AH72" i="19"/>
  <c r="AG72" i="19"/>
  <c r="AF72" i="19"/>
  <c r="AE72" i="19"/>
  <c r="AD72" i="19"/>
  <c r="AC72" i="19"/>
  <c r="AB72" i="19"/>
  <c r="Z72" i="19"/>
  <c r="J72" i="19"/>
  <c r="AL72" i="19" s="1"/>
  <c r="I72" i="19"/>
  <c r="H72" i="19"/>
  <c r="BJ61" i="19"/>
  <c r="BF61" i="19"/>
  <c r="BD61" i="19"/>
  <c r="AW61" i="19"/>
  <c r="AP61" i="19"/>
  <c r="AO61" i="19"/>
  <c r="BH61" i="19" s="1"/>
  <c r="AB61" i="19" s="1"/>
  <c r="AK61" i="19"/>
  <c r="AJ61" i="19"/>
  <c r="AH61" i="19"/>
  <c r="AG61" i="19"/>
  <c r="AF61" i="19"/>
  <c r="AE61" i="19"/>
  <c r="AD61" i="19"/>
  <c r="Z61" i="19"/>
  <c r="J61" i="19"/>
  <c r="AL61" i="19" s="1"/>
  <c r="H61" i="19"/>
  <c r="BJ55" i="19"/>
  <c r="BF55" i="19"/>
  <c r="BD55" i="19"/>
  <c r="AP55" i="19"/>
  <c r="BI55" i="19" s="1"/>
  <c r="AC55" i="19" s="1"/>
  <c r="AO55" i="19"/>
  <c r="AL55" i="19"/>
  <c r="AK55" i="19"/>
  <c r="AJ55" i="19"/>
  <c r="AH55" i="19"/>
  <c r="AG55" i="19"/>
  <c r="AF55" i="19"/>
  <c r="AE55" i="19"/>
  <c r="AD55" i="19"/>
  <c r="Z55" i="19"/>
  <c r="J55" i="19"/>
  <c r="J38" i="19" s="1"/>
  <c r="I55" i="19"/>
  <c r="H55" i="19"/>
  <c r="BJ53" i="19"/>
  <c r="BF53" i="19"/>
  <c r="BD53" i="19"/>
  <c r="AP53" i="19"/>
  <c r="AX53" i="19" s="1"/>
  <c r="AO53" i="19"/>
  <c r="AW53" i="19" s="1"/>
  <c r="AL53" i="19"/>
  <c r="AK53" i="19"/>
  <c r="AJ53" i="19"/>
  <c r="AH53" i="19"/>
  <c r="AG53" i="19"/>
  <c r="AF53" i="19"/>
  <c r="AE53" i="19"/>
  <c r="AD53" i="19"/>
  <c r="Z53" i="19"/>
  <c r="J53" i="19"/>
  <c r="I53" i="19"/>
  <c r="BJ43" i="19"/>
  <c r="BH43" i="19"/>
  <c r="AB43" i="19" s="1"/>
  <c r="BF43" i="19"/>
  <c r="BD43" i="19"/>
  <c r="AP43" i="19"/>
  <c r="AO43" i="19"/>
  <c r="AW43" i="19" s="1"/>
  <c r="AK43" i="19"/>
  <c r="AJ43" i="19"/>
  <c r="AH43" i="19"/>
  <c r="AG43" i="19"/>
  <c r="AF43" i="19"/>
  <c r="AE43" i="19"/>
  <c r="AD43" i="19"/>
  <c r="Z43" i="19"/>
  <c r="J43" i="19"/>
  <c r="AL43" i="19" s="1"/>
  <c r="H43" i="19"/>
  <c r="BJ41" i="19"/>
  <c r="BI41" i="19"/>
  <c r="AC41" i="19" s="1"/>
  <c r="BH41" i="19"/>
  <c r="AB41" i="19" s="1"/>
  <c r="BF41" i="19"/>
  <c r="BD41" i="19"/>
  <c r="AX41" i="19"/>
  <c r="AW41" i="19"/>
  <c r="BC41" i="19" s="1"/>
  <c r="AV41" i="19"/>
  <c r="AP41" i="19"/>
  <c r="AO41" i="19"/>
  <c r="H41" i="19" s="1"/>
  <c r="AL41" i="19"/>
  <c r="AK41" i="19"/>
  <c r="AJ41" i="19"/>
  <c r="AH41" i="19"/>
  <c r="AG41" i="19"/>
  <c r="AF41" i="19"/>
  <c r="AE41" i="19"/>
  <c r="AD41" i="19"/>
  <c r="Z41" i="19"/>
  <c r="J41" i="19"/>
  <c r="I41" i="19"/>
  <c r="BJ39" i="19"/>
  <c r="BI39" i="19"/>
  <c r="AC39" i="19" s="1"/>
  <c r="BH39" i="19"/>
  <c r="AB39" i="19" s="1"/>
  <c r="BF39" i="19"/>
  <c r="BD39" i="19"/>
  <c r="AX39" i="19"/>
  <c r="AP39" i="19"/>
  <c r="I39" i="19" s="1"/>
  <c r="AO39" i="19"/>
  <c r="AW39" i="19" s="1"/>
  <c r="AK39" i="19"/>
  <c r="AJ39" i="19"/>
  <c r="AH39" i="19"/>
  <c r="AG39" i="19"/>
  <c r="AF39" i="19"/>
  <c r="AE39" i="19"/>
  <c r="AD39" i="19"/>
  <c r="Z39" i="19"/>
  <c r="J39" i="19"/>
  <c r="AL39" i="19" s="1"/>
  <c r="H39" i="19"/>
  <c r="AT38" i="19"/>
  <c r="BJ36" i="19"/>
  <c r="BF36" i="19"/>
  <c r="BD36" i="19"/>
  <c r="AP36" i="19"/>
  <c r="BI36" i="19" s="1"/>
  <c r="AC36" i="19" s="1"/>
  <c r="AO36" i="19"/>
  <c r="BH36" i="19" s="1"/>
  <c r="AB36" i="19" s="1"/>
  <c r="AL36" i="19"/>
  <c r="AK36" i="19"/>
  <c r="AJ36" i="19"/>
  <c r="AH36" i="19"/>
  <c r="AG36" i="19"/>
  <c r="AF36" i="19"/>
  <c r="AE36" i="19"/>
  <c r="AD36" i="19"/>
  <c r="Z36" i="19"/>
  <c r="J36" i="19"/>
  <c r="I36" i="19"/>
  <c r="H36" i="19"/>
  <c r="BJ34" i="19"/>
  <c r="BH34" i="19"/>
  <c r="AB34" i="19" s="1"/>
  <c r="BF34" i="19"/>
  <c r="BD34" i="19"/>
  <c r="AX34" i="19"/>
  <c r="AP34" i="19"/>
  <c r="BI34" i="19" s="1"/>
  <c r="AC34" i="19" s="1"/>
  <c r="AO34" i="19"/>
  <c r="AW34" i="19" s="1"/>
  <c r="AV34" i="19" s="1"/>
  <c r="AL34" i="19"/>
  <c r="AK34" i="19"/>
  <c r="AJ34" i="19"/>
  <c r="AH34" i="19"/>
  <c r="AG34" i="19"/>
  <c r="AF34" i="19"/>
  <c r="AE34" i="19"/>
  <c r="AD34" i="19"/>
  <c r="Z34" i="19"/>
  <c r="J34" i="19"/>
  <c r="I34" i="19"/>
  <c r="H34" i="19"/>
  <c r="BJ32" i="19"/>
  <c r="BI32" i="19"/>
  <c r="AC32" i="19" s="1"/>
  <c r="BF32" i="19"/>
  <c r="BD32" i="19"/>
  <c r="AP32" i="19"/>
  <c r="AX32" i="19" s="1"/>
  <c r="AO32" i="19"/>
  <c r="AK32" i="19"/>
  <c r="AJ32" i="19"/>
  <c r="AH32" i="19"/>
  <c r="AG32" i="19"/>
  <c r="AF32" i="19"/>
  <c r="AE32" i="19"/>
  <c r="AD32" i="19"/>
  <c r="Z32" i="19"/>
  <c r="J32" i="19"/>
  <c r="AL32" i="19" s="1"/>
  <c r="BJ30" i="19"/>
  <c r="BH30" i="19"/>
  <c r="BF30" i="19"/>
  <c r="BD30" i="19"/>
  <c r="AX30" i="19"/>
  <c r="AW30" i="19"/>
  <c r="BC30" i="19" s="1"/>
  <c r="AV30" i="19"/>
  <c r="AP30" i="19"/>
  <c r="AO30" i="19"/>
  <c r="AK30" i="19"/>
  <c r="AJ30" i="19"/>
  <c r="AH30" i="19"/>
  <c r="AG30" i="19"/>
  <c r="AF30" i="19"/>
  <c r="AE30" i="19"/>
  <c r="AD30" i="19"/>
  <c r="AB30" i="19"/>
  <c r="Z30" i="19"/>
  <c r="J30" i="19"/>
  <c r="AL30" i="19" s="1"/>
  <c r="H30" i="19"/>
  <c r="BJ26" i="19"/>
  <c r="BH26" i="19"/>
  <c r="BF26" i="19"/>
  <c r="BD26" i="19"/>
  <c r="AW26" i="19"/>
  <c r="AP26" i="19"/>
  <c r="AO26" i="19"/>
  <c r="H26" i="19" s="1"/>
  <c r="AL26" i="19"/>
  <c r="AK26" i="19"/>
  <c r="AJ26" i="19"/>
  <c r="AH26" i="19"/>
  <c r="AG26" i="19"/>
  <c r="AF26" i="19"/>
  <c r="AE26" i="19"/>
  <c r="AD26" i="19"/>
  <c r="AB26" i="19"/>
  <c r="Z26" i="19"/>
  <c r="J26" i="19"/>
  <c r="BJ22" i="19"/>
  <c r="BI22" i="19"/>
  <c r="BH22" i="19"/>
  <c r="BF22" i="19"/>
  <c r="BD22" i="19"/>
  <c r="AX22" i="19"/>
  <c r="AW22" i="19"/>
  <c r="BC22" i="19" s="1"/>
  <c r="AV22" i="19"/>
  <c r="AP22" i="19"/>
  <c r="I22" i="19" s="1"/>
  <c r="AO22" i="19"/>
  <c r="AK22" i="19"/>
  <c r="AT21" i="19" s="1"/>
  <c r="AJ22" i="19"/>
  <c r="AH22" i="19"/>
  <c r="AG22" i="19"/>
  <c r="AF22" i="19"/>
  <c r="AE22" i="19"/>
  <c r="AD22" i="19"/>
  <c r="AC22" i="19"/>
  <c r="AB22" i="19"/>
  <c r="Z22" i="19"/>
  <c r="J22" i="19"/>
  <c r="H22" i="19"/>
  <c r="BJ19" i="19"/>
  <c r="BI19" i="19"/>
  <c r="BF19" i="19"/>
  <c r="BD19" i="19"/>
  <c r="AX19" i="19"/>
  <c r="AP19" i="19"/>
  <c r="I19" i="19" s="1"/>
  <c r="AO19" i="19"/>
  <c r="BH19" i="19" s="1"/>
  <c r="AB19" i="19" s="1"/>
  <c r="AL19" i="19"/>
  <c r="AK19" i="19"/>
  <c r="AJ19" i="19"/>
  <c r="AH19" i="19"/>
  <c r="AG19" i="19"/>
  <c r="AF19" i="19"/>
  <c r="AE19" i="19"/>
  <c r="AD19" i="19"/>
  <c r="AC19" i="19"/>
  <c r="Z19" i="19"/>
  <c r="J19" i="19"/>
  <c r="H19" i="19"/>
  <c r="BJ17" i="19"/>
  <c r="BH17" i="19"/>
  <c r="BF17" i="19"/>
  <c r="BD17" i="19"/>
  <c r="AP17" i="19"/>
  <c r="AO17" i="19"/>
  <c r="AW17" i="19" s="1"/>
  <c r="AK17" i="19"/>
  <c r="AJ17" i="19"/>
  <c r="AH17" i="19"/>
  <c r="AG17" i="19"/>
  <c r="AF17" i="19"/>
  <c r="AE17" i="19"/>
  <c r="AD17" i="19"/>
  <c r="AB17" i="19"/>
  <c r="Z17" i="19"/>
  <c r="J17" i="19"/>
  <c r="AL17" i="19" s="1"/>
  <c r="H17" i="19"/>
  <c r="BJ15" i="19"/>
  <c r="BF15" i="19"/>
  <c r="BD15" i="19"/>
  <c r="AP15" i="19"/>
  <c r="AX15" i="19" s="1"/>
  <c r="AO15" i="19"/>
  <c r="AK15" i="19"/>
  <c r="AJ15" i="19"/>
  <c r="AH15" i="19"/>
  <c r="AG15" i="19"/>
  <c r="AF15" i="19"/>
  <c r="AE15" i="19"/>
  <c r="AD15" i="19"/>
  <c r="Z15" i="19"/>
  <c r="J15" i="19"/>
  <c r="AL15" i="19" s="1"/>
  <c r="I15" i="19"/>
  <c r="BJ13" i="19"/>
  <c r="BF13" i="19"/>
  <c r="BD13" i="19"/>
  <c r="AP13" i="19"/>
  <c r="AX13" i="19" s="1"/>
  <c r="AO13" i="19"/>
  <c r="BH13" i="19" s="1"/>
  <c r="AB13" i="19" s="1"/>
  <c r="AK13" i="19"/>
  <c r="AJ13" i="19"/>
  <c r="AH13" i="19"/>
  <c r="AG13" i="19"/>
  <c r="AF13" i="19"/>
  <c r="AE13" i="19"/>
  <c r="AD13" i="19"/>
  <c r="Z13" i="19"/>
  <c r="J13" i="19"/>
  <c r="AL13" i="19" s="1"/>
  <c r="AT12" i="19"/>
  <c r="AS12" i="19"/>
  <c r="AU1" i="19"/>
  <c r="AT1" i="19"/>
  <c r="AS1" i="19"/>
  <c r="BH15" i="19" l="1"/>
  <c r="AB15" i="19" s="1"/>
  <c r="H15" i="19"/>
  <c r="AW15" i="19"/>
  <c r="AW55" i="19"/>
  <c r="BH55" i="19"/>
  <c r="AB55" i="19" s="1"/>
  <c r="BC299" i="19"/>
  <c r="AU92" i="19"/>
  <c r="BC117" i="19"/>
  <c r="AV201" i="19"/>
  <c r="BC201" i="19"/>
  <c r="AX334" i="19"/>
  <c r="I334" i="19"/>
  <c r="BI334" i="19"/>
  <c r="AC334" i="19" s="1"/>
  <c r="BH77" i="19"/>
  <c r="AB77" i="19" s="1"/>
  <c r="AW77" i="19"/>
  <c r="AV95" i="19"/>
  <c r="BC95" i="19"/>
  <c r="I348" i="19"/>
  <c r="I347" i="19" s="1"/>
  <c r="BI348" i="19"/>
  <c r="AC348" i="19" s="1"/>
  <c r="AX348" i="19"/>
  <c r="BC348" i="19" s="1"/>
  <c r="BC296" i="19"/>
  <c r="AV296" i="19"/>
  <c r="H77" i="19"/>
  <c r="I318" i="19"/>
  <c r="BI318" i="19"/>
  <c r="AC318" i="19" s="1"/>
  <c r="AX318" i="19"/>
  <c r="J12" i="19"/>
  <c r="AL22" i="19"/>
  <c r="AU21" i="19" s="1"/>
  <c r="J21" i="19"/>
  <c r="AV53" i="19"/>
  <c r="BC53" i="19"/>
  <c r="AX79" i="19"/>
  <c r="AV79" i="19" s="1"/>
  <c r="I79" i="19"/>
  <c r="BI79" i="19"/>
  <c r="AC79" i="19" s="1"/>
  <c r="AV112" i="19"/>
  <c r="BC112" i="19"/>
  <c r="J116" i="19"/>
  <c r="AL122" i="19"/>
  <c r="AU116" i="19" s="1"/>
  <c r="J150" i="19"/>
  <c r="AL154" i="19"/>
  <c r="AU150" i="19" s="1"/>
  <c r="J325" i="19"/>
  <c r="BC98" i="19"/>
  <c r="AV98" i="19"/>
  <c r="AS282" i="19"/>
  <c r="AW291" i="19"/>
  <c r="H291" i="19"/>
  <c r="BH291" i="19"/>
  <c r="AB291" i="19" s="1"/>
  <c r="BI17" i="19"/>
  <c r="AC17" i="19" s="1"/>
  <c r="I17" i="19"/>
  <c r="AX17" i="19"/>
  <c r="BI26" i="19"/>
  <c r="AC26" i="19" s="1"/>
  <c r="I26" i="19"/>
  <c r="I21" i="19" s="1"/>
  <c r="AX26" i="19"/>
  <c r="AV26" i="19" s="1"/>
  <c r="I61" i="19"/>
  <c r="AX61" i="19"/>
  <c r="BI61" i="19"/>
  <c r="AC61" i="19" s="1"/>
  <c r="AW154" i="19"/>
  <c r="BH154" i="19"/>
  <c r="AB154" i="19" s="1"/>
  <c r="AX387" i="19"/>
  <c r="BI387" i="19"/>
  <c r="I387" i="19"/>
  <c r="AV61" i="19"/>
  <c r="BC61" i="19"/>
  <c r="AV93" i="19"/>
  <c r="BC93" i="19"/>
  <c r="I122" i="19"/>
  <c r="AX122" i="19"/>
  <c r="BI122" i="19"/>
  <c r="AC122" i="19" s="1"/>
  <c r="BI154" i="19"/>
  <c r="AC154" i="19" s="1"/>
  <c r="I154" i="19"/>
  <c r="I150" i="19" s="1"/>
  <c r="AX154" i="19"/>
  <c r="I203" i="19"/>
  <c r="AX203" i="19"/>
  <c r="BI203" i="19"/>
  <c r="AC203" i="19" s="1"/>
  <c r="H325" i="19"/>
  <c r="BC381" i="19"/>
  <c r="AV381" i="19"/>
  <c r="AS188" i="19"/>
  <c r="AT209" i="19"/>
  <c r="AV276" i="19"/>
  <c r="BC276" i="19"/>
  <c r="AU325" i="19"/>
  <c r="I389" i="19"/>
  <c r="BC39" i="19"/>
  <c r="AV39" i="19"/>
  <c r="BC75" i="19"/>
  <c r="AX174" i="19"/>
  <c r="BI174" i="19"/>
  <c r="AC174" i="19" s="1"/>
  <c r="BI270" i="19"/>
  <c r="AC270" i="19" s="1"/>
  <c r="I270" i="19"/>
  <c r="AX270" i="19"/>
  <c r="AV270" i="19" s="1"/>
  <c r="AT325" i="19"/>
  <c r="AU38" i="19"/>
  <c r="H154" i="19"/>
  <c r="H150" i="19" s="1"/>
  <c r="H106" i="19"/>
  <c r="AW106" i="19"/>
  <c r="BH106" i="19"/>
  <c r="AB106" i="19" s="1"/>
  <c r="H174" i="19"/>
  <c r="H173" i="19" s="1"/>
  <c r="BH174" i="19"/>
  <c r="AB174" i="19" s="1"/>
  <c r="AW174" i="19"/>
  <c r="AU200" i="19"/>
  <c r="AV318" i="19"/>
  <c r="BC351" i="19"/>
  <c r="AV387" i="19"/>
  <c r="AX106" i="19"/>
  <c r="BI106" i="19"/>
  <c r="AC106" i="19" s="1"/>
  <c r="AT232" i="19"/>
  <c r="AX291" i="19"/>
  <c r="H321" i="19"/>
  <c r="H103" i="19"/>
  <c r="BI216" i="19"/>
  <c r="AC216" i="19" s="1"/>
  <c r="AX216" i="19"/>
  <c r="H262" i="19"/>
  <c r="AV351" i="19"/>
  <c r="H210" i="19"/>
  <c r="AW219" i="19"/>
  <c r="AW313" i="19"/>
  <c r="AX375" i="19"/>
  <c r="I375" i="19"/>
  <c r="BI144" i="19"/>
  <c r="AC144" i="19" s="1"/>
  <c r="I144" i="19"/>
  <c r="J232" i="19"/>
  <c r="AW262" i="19"/>
  <c r="AV274" i="19"/>
  <c r="AW338" i="19"/>
  <c r="AV375" i="19"/>
  <c r="AW13" i="19"/>
  <c r="AW36" i="19"/>
  <c r="BI43" i="19"/>
  <c r="AC43" i="19" s="1"/>
  <c r="I43" i="19"/>
  <c r="I38" i="19" s="1"/>
  <c r="AX75" i="19"/>
  <c r="AV75" i="19" s="1"/>
  <c r="J92" i="19"/>
  <c r="BH101" i="19"/>
  <c r="AB101" i="19" s="1"/>
  <c r="H101" i="19"/>
  <c r="AW103" i="19"/>
  <c r="AW181" i="19"/>
  <c r="AW214" i="19"/>
  <c r="BH214" i="19"/>
  <c r="AB214" i="19" s="1"/>
  <c r="AX233" i="19"/>
  <c r="J282" i="19"/>
  <c r="BC289" i="19"/>
  <c r="AX299" i="19"/>
  <c r="I299" i="19"/>
  <c r="BH321" i="19"/>
  <c r="AB321" i="19" s="1"/>
  <c r="BH351" i="19"/>
  <c r="AB351" i="19" s="1"/>
  <c r="H366" i="19"/>
  <c r="H363" i="19" s="1"/>
  <c r="BI372" i="19"/>
  <c r="AG372" i="19" s="1"/>
  <c r="I372" i="19"/>
  <c r="I371" i="19" s="1"/>
  <c r="BC375" i="19"/>
  <c r="BI383" i="19"/>
  <c r="AX383" i="19"/>
  <c r="BC383" i="19" s="1"/>
  <c r="I383" i="19"/>
  <c r="I32" i="19"/>
  <c r="AX36" i="19"/>
  <c r="I90" i="19"/>
  <c r="AS92" i="19"/>
  <c r="I140" i="19"/>
  <c r="I116" i="19" s="1"/>
  <c r="AX144" i="19"/>
  <c r="I188" i="19"/>
  <c r="BI225" i="19"/>
  <c r="AE225" i="19" s="1"/>
  <c r="BH252" i="19"/>
  <c r="AB252" i="19" s="1"/>
  <c r="BH272" i="19"/>
  <c r="AB272" i="19" s="1"/>
  <c r="H272" i="19"/>
  <c r="I280" i="19"/>
  <c r="AV299" i="19"/>
  <c r="AV310" i="19"/>
  <c r="BC310" i="19"/>
  <c r="AX328" i="19"/>
  <c r="AL366" i="19"/>
  <c r="AU363" i="19" s="1"/>
  <c r="J363" i="19"/>
  <c r="AV366" i="19"/>
  <c r="AX369" i="19"/>
  <c r="AV369" i="19" s="1"/>
  <c r="I369" i="19"/>
  <c r="I368" i="19" s="1"/>
  <c r="AL372" i="19"/>
  <c r="AU371" i="19" s="1"/>
  <c r="J371" i="19"/>
  <c r="AX372" i="19"/>
  <c r="BH377" i="19"/>
  <c r="AX207" i="19"/>
  <c r="I207" i="19"/>
  <c r="AW216" i="19"/>
  <c r="AW108" i="19"/>
  <c r="H108" i="19"/>
  <c r="BI146" i="19"/>
  <c r="AC146" i="19" s="1"/>
  <c r="AS200" i="19"/>
  <c r="BC361" i="19"/>
  <c r="AS21" i="19"/>
  <c r="AX43" i="19"/>
  <c r="AV43" i="19" s="1"/>
  <c r="I81" i="19"/>
  <c r="AV90" i="19"/>
  <c r="BI98" i="19"/>
  <c r="AC98" i="19" s="1"/>
  <c r="I98" i="19"/>
  <c r="I92" i="19" s="1"/>
  <c r="AW101" i="19"/>
  <c r="J173" i="19"/>
  <c r="AV179" i="19"/>
  <c r="BI198" i="19"/>
  <c r="AG198" i="19" s="1"/>
  <c r="BH210" i="19"/>
  <c r="AB210" i="19" s="1"/>
  <c r="BH212" i="19"/>
  <c r="AB212" i="19" s="1"/>
  <c r="H212" i="19"/>
  <c r="AW212" i="19"/>
  <c r="BI268" i="19"/>
  <c r="AC268" i="19" s="1"/>
  <c r="AU282" i="19"/>
  <c r="BI289" i="19"/>
  <c r="AC289" i="19" s="1"/>
  <c r="H323" i="19"/>
  <c r="BH323" i="19"/>
  <c r="AB323" i="19" s="1"/>
  <c r="AW323" i="19"/>
  <c r="BI326" i="19"/>
  <c r="AC326" i="19" s="1"/>
  <c r="I326" i="19"/>
  <c r="I325" i="19" s="1"/>
  <c r="H358" i="19"/>
  <c r="BH358" i="19"/>
  <c r="AB358" i="19" s="1"/>
  <c r="AW358" i="19"/>
  <c r="BI361" i="19"/>
  <c r="AC361" i="19" s="1"/>
  <c r="I361" i="19"/>
  <c r="I360" i="19" s="1"/>
  <c r="AU389" i="19"/>
  <c r="BH240" i="19"/>
  <c r="AB240" i="19" s="1"/>
  <c r="AW240" i="19"/>
  <c r="I321" i="19"/>
  <c r="I320" i="19" s="1"/>
  <c r="AX321" i="19"/>
  <c r="AV321" i="19" s="1"/>
  <c r="BH332" i="19"/>
  <c r="AB332" i="19" s="1"/>
  <c r="AW332" i="19"/>
  <c r="AU12" i="19"/>
  <c r="AS38" i="19"/>
  <c r="AW230" i="19"/>
  <c r="H230" i="19"/>
  <c r="H221" i="19" s="1"/>
  <c r="BH233" i="19"/>
  <c r="AB233" i="19" s="1"/>
  <c r="AW233" i="19"/>
  <c r="AW252" i="19"/>
  <c r="BI15" i="19"/>
  <c r="AC15" i="19" s="1"/>
  <c r="AU188" i="19"/>
  <c r="BI391" i="19"/>
  <c r="AC391" i="19" s="1"/>
  <c r="AX391" i="19"/>
  <c r="BC391" i="19" s="1"/>
  <c r="BC34" i="19"/>
  <c r="BI53" i="19"/>
  <c r="AC53" i="19" s="1"/>
  <c r="BI103" i="19"/>
  <c r="AC103" i="19" s="1"/>
  <c r="BI117" i="19"/>
  <c r="AC117" i="19" s="1"/>
  <c r="BI151" i="19"/>
  <c r="AC151" i="19" s="1"/>
  <c r="H176" i="19"/>
  <c r="AU176" i="19"/>
  <c r="BH181" i="19"/>
  <c r="AB181" i="19" s="1"/>
  <c r="AX212" i="19"/>
  <c r="I212" i="19"/>
  <c r="AX228" i="19"/>
  <c r="BI228" i="19"/>
  <c r="AE228" i="19" s="1"/>
  <c r="BH230" i="19"/>
  <c r="AD230" i="19" s="1"/>
  <c r="AX248" i="19"/>
  <c r="AV248" i="19" s="1"/>
  <c r="BC260" i="19"/>
  <c r="BH274" i="19"/>
  <c r="AB274" i="19" s="1"/>
  <c r="BH276" i="19"/>
  <c r="AB276" i="19" s="1"/>
  <c r="H276" i="19"/>
  <c r="I304" i="19"/>
  <c r="AW304" i="19"/>
  <c r="J320" i="19"/>
  <c r="J350" i="19"/>
  <c r="BI375" i="19"/>
  <c r="J389" i="19"/>
  <c r="AW390" i="19"/>
  <c r="BH390" i="19"/>
  <c r="AB390" i="19" s="1"/>
  <c r="H390" i="19"/>
  <c r="H389" i="19" s="1"/>
  <c r="BI77" i="19"/>
  <c r="AC77" i="19" s="1"/>
  <c r="I77" i="19"/>
  <c r="I74" i="19" s="1"/>
  <c r="AL225" i="19"/>
  <c r="AU221" i="19" s="1"/>
  <c r="J221" i="19"/>
  <c r="BC270" i="19"/>
  <c r="H351" i="19"/>
  <c r="H350" i="19" s="1"/>
  <c r="I351" i="19"/>
  <c r="I350" i="19" s="1"/>
  <c r="AX351" i="19"/>
  <c r="BI385" i="19"/>
  <c r="I385" i="19"/>
  <c r="BC387" i="19"/>
  <c r="H13" i="19"/>
  <c r="H12" i="19" s="1"/>
  <c r="BH53" i="19"/>
  <c r="AB53" i="19" s="1"/>
  <c r="H53" i="19"/>
  <c r="H38" i="19" s="1"/>
  <c r="H198" i="19"/>
  <c r="H188" i="19" s="1"/>
  <c r="AW198" i="19"/>
  <c r="BI201" i="19"/>
  <c r="AC201" i="19" s="1"/>
  <c r="I201" i="19"/>
  <c r="I200" i="19" s="1"/>
  <c r="I216" i="19"/>
  <c r="AX225" i="19"/>
  <c r="AV225" i="19" s="1"/>
  <c r="BC318" i="19"/>
  <c r="BI13" i="19"/>
  <c r="AC13" i="19" s="1"/>
  <c r="I13" i="19"/>
  <c r="AX55" i="19"/>
  <c r="BH112" i="19"/>
  <c r="AB112" i="19" s="1"/>
  <c r="H112" i="19"/>
  <c r="AV117" i="19"/>
  <c r="AX146" i="19"/>
  <c r="BC146" i="19" s="1"/>
  <c r="AX301" i="19"/>
  <c r="AV301" i="19" s="1"/>
  <c r="BC377" i="19"/>
  <c r="BC385" i="19"/>
  <c r="AX77" i="19"/>
  <c r="BC114" i="19"/>
  <c r="AV210" i="19"/>
  <c r="AS325" i="19"/>
  <c r="BH328" i="19"/>
  <c r="AB328" i="19" s="1"/>
  <c r="AW328" i="19"/>
  <c r="BH372" i="19"/>
  <c r="AF372" i="19" s="1"/>
  <c r="AW372" i="19"/>
  <c r="BH32" i="19"/>
  <c r="AB32" i="19" s="1"/>
  <c r="H32" i="19"/>
  <c r="H21" i="19" s="1"/>
  <c r="BH140" i="19"/>
  <c r="AB140" i="19" s="1"/>
  <c r="H140" i="19"/>
  <c r="H116" i="19" s="1"/>
  <c r="BI179" i="19"/>
  <c r="AC179" i="19" s="1"/>
  <c r="AX179" i="19"/>
  <c r="BC179" i="19" s="1"/>
  <c r="BH198" i="19"/>
  <c r="AF198" i="19" s="1"/>
  <c r="AW256" i="19"/>
  <c r="H256" i="19"/>
  <c r="H232" i="19" s="1"/>
  <c r="BI283" i="19"/>
  <c r="AC283" i="19" s="1"/>
  <c r="I283" i="19"/>
  <c r="I282" i="19" s="1"/>
  <c r="AX283" i="19"/>
  <c r="AV283" i="19" s="1"/>
  <c r="BI301" i="19"/>
  <c r="AC301" i="19" s="1"/>
  <c r="BC326" i="19"/>
  <c r="BH338" i="19"/>
  <c r="AB338" i="19" s="1"/>
  <c r="AW19" i="19"/>
  <c r="BI30" i="19"/>
  <c r="AC30" i="19" s="1"/>
  <c r="I30" i="19"/>
  <c r="AW32" i="19"/>
  <c r="BH79" i="19"/>
  <c r="AB79" i="19" s="1"/>
  <c r="H79" i="19"/>
  <c r="H74" i="19" s="1"/>
  <c r="BC90" i="19"/>
  <c r="AX108" i="19"/>
  <c r="BH122" i="19"/>
  <c r="AB122" i="19" s="1"/>
  <c r="AW122" i="19"/>
  <c r="AW140" i="19"/>
  <c r="BC148" i="19"/>
  <c r="AW177" i="19"/>
  <c r="BH177" i="19"/>
  <c r="AB177" i="19" s="1"/>
  <c r="BH203" i="19"/>
  <c r="AB203" i="19" s="1"/>
  <c r="AW203" i="19"/>
  <c r="BI207" i="19"/>
  <c r="AC207" i="19" s="1"/>
  <c r="AW228" i="19"/>
  <c r="BC280" i="19"/>
  <c r="AW294" i="19"/>
  <c r="AX326" i="19"/>
  <c r="AV326" i="19" s="1"/>
  <c r="AX336" i="19"/>
  <c r="AV336" i="19" s="1"/>
  <c r="AW340" i="19"/>
  <c r="H340" i="19"/>
  <c r="AX361" i="19"/>
  <c r="AV361" i="19" s="1"/>
  <c r="BH366" i="19"/>
  <c r="J374" i="19"/>
  <c r="AS176" i="19"/>
  <c r="BC248" i="19"/>
  <c r="AV364" i="19"/>
  <c r="J209" i="19"/>
  <c r="BC225" i="19"/>
  <c r="BH248" i="19"/>
  <c r="AB248" i="19" s="1"/>
  <c r="BI272" i="19"/>
  <c r="AC272" i="19" s="1"/>
  <c r="BH289" i="19"/>
  <c r="AB289" i="19" s="1"/>
  <c r="H289" i="19"/>
  <c r="H282" i="19" s="1"/>
  <c r="BH336" i="19"/>
  <c r="AB336" i="19" s="1"/>
  <c r="H374" i="19"/>
  <c r="AV379" i="19"/>
  <c r="BC189" i="19"/>
  <c r="AU209" i="19"/>
  <c r="BI210" i="19"/>
  <c r="AC210" i="19" s="1"/>
  <c r="I210" i="19"/>
  <c r="I272" i="19"/>
  <c r="I232" i="19" s="1"/>
  <c r="AV342" i="19"/>
  <c r="BH387" i="19"/>
  <c r="H387" i="19"/>
  <c r="AV36" i="19" l="1"/>
  <c r="BC36" i="19"/>
  <c r="AV214" i="19"/>
  <c r="BC214" i="19"/>
  <c r="AV304" i="19"/>
  <c r="BC304" i="19"/>
  <c r="AV146" i="19"/>
  <c r="AV203" i="19"/>
  <c r="BC203" i="19"/>
  <c r="AV32" i="19"/>
  <c r="BC32" i="19"/>
  <c r="AV256" i="19"/>
  <c r="BC256" i="19"/>
  <c r="AV391" i="19"/>
  <c r="AV108" i="19"/>
  <c r="BC108" i="19"/>
  <c r="BC144" i="19"/>
  <c r="AV144" i="19"/>
  <c r="H92" i="19"/>
  <c r="AV174" i="19"/>
  <c r="BC174" i="19"/>
  <c r="AV383" i="19"/>
  <c r="J393" i="19"/>
  <c r="BC77" i="19"/>
  <c r="AV77" i="19"/>
  <c r="I12" i="19"/>
  <c r="AV348" i="19"/>
  <c r="AV101" i="19"/>
  <c r="BC101" i="19"/>
  <c r="AV216" i="19"/>
  <c r="BC216" i="19"/>
  <c r="H320" i="19"/>
  <c r="BC55" i="19"/>
  <c r="AV55" i="19"/>
  <c r="AV212" i="19"/>
  <c r="BC212" i="19"/>
  <c r="I209" i="19"/>
  <c r="BC372" i="19"/>
  <c r="AV372" i="19"/>
  <c r="AV252" i="19"/>
  <c r="BC252" i="19"/>
  <c r="AV323" i="19"/>
  <c r="BC323" i="19"/>
  <c r="BC181" i="19"/>
  <c r="AV181" i="19"/>
  <c r="BC321" i="19"/>
  <c r="BC283" i="19"/>
  <c r="BC207" i="19"/>
  <c r="AV207" i="19"/>
  <c r="I374" i="19"/>
  <c r="BC79" i="19"/>
  <c r="BC43" i="19"/>
  <c r="BC13" i="19"/>
  <c r="AV13" i="19"/>
  <c r="AV294" i="19"/>
  <c r="BC294" i="19"/>
  <c r="AV198" i="19"/>
  <c r="BC198" i="19"/>
  <c r="BC240" i="19"/>
  <c r="AV240" i="19"/>
  <c r="AV338" i="19"/>
  <c r="BC338" i="19"/>
  <c r="BC26" i="19"/>
  <c r="AV228" i="19"/>
  <c r="BC228" i="19"/>
  <c r="BC262" i="19"/>
  <c r="AV262" i="19"/>
  <c r="BC369" i="19"/>
  <c r="BC177" i="19"/>
  <c r="AV177" i="19"/>
  <c r="AV291" i="19"/>
  <c r="BC291" i="19"/>
  <c r="BC122" i="19"/>
  <c r="AV122" i="19"/>
  <c r="BC219" i="19"/>
  <c r="AV219" i="19"/>
  <c r="BC334" i="19"/>
  <c r="AV334" i="19"/>
  <c r="H209" i="19"/>
  <c r="BC336" i="19"/>
  <c r="BC17" i="19"/>
  <c r="AV17" i="19"/>
  <c r="AV328" i="19"/>
  <c r="BC328" i="19"/>
  <c r="AV233" i="19"/>
  <c r="BC233" i="19"/>
  <c r="BC103" i="19"/>
  <c r="AV103" i="19"/>
  <c r="BC230" i="19"/>
  <c r="AV230" i="19"/>
  <c r="BC154" i="19"/>
  <c r="AV154" i="19"/>
  <c r="AV15" i="19"/>
  <c r="BC15" i="19"/>
  <c r="AV19" i="19"/>
  <c r="BC19" i="19"/>
  <c r="BC301" i="19"/>
  <c r="AV340" i="19"/>
  <c r="BC340" i="19"/>
  <c r="BC140" i="19"/>
  <c r="AV140" i="19"/>
  <c r="BC390" i="19"/>
  <c r="AV390" i="19"/>
  <c r="BC332" i="19"/>
  <c r="AV332" i="19"/>
  <c r="AV358" i="19"/>
  <c r="BC358" i="19"/>
  <c r="AV313" i="19"/>
  <c r="BC313" i="19"/>
  <c r="BC106" i="19"/>
  <c r="AV106" i="19"/>
  <c r="BJ324" i="18" l="1"/>
  <c r="BF324" i="18"/>
  <c r="BD324" i="18"/>
  <c r="AP324" i="18"/>
  <c r="AX324" i="18" s="1"/>
  <c r="AO324" i="18"/>
  <c r="AK324" i="18"/>
  <c r="AJ324" i="18"/>
  <c r="AH324" i="18"/>
  <c r="AG324" i="18"/>
  <c r="AF324" i="18"/>
  <c r="AE324" i="18"/>
  <c r="AD324" i="18"/>
  <c r="Z324" i="18"/>
  <c r="J324" i="18"/>
  <c r="AL324" i="18" s="1"/>
  <c r="BJ323" i="18"/>
  <c r="BH323" i="18"/>
  <c r="AB323" i="18" s="1"/>
  <c r="BF323" i="18"/>
  <c r="BD323" i="18"/>
  <c r="AW323" i="18"/>
  <c r="AP323" i="18"/>
  <c r="AO323" i="18"/>
  <c r="AL323" i="18"/>
  <c r="AK323" i="18"/>
  <c r="AJ323" i="18"/>
  <c r="AH323" i="18"/>
  <c r="AG323" i="18"/>
  <c r="AF323" i="18"/>
  <c r="AE323" i="18"/>
  <c r="AD323" i="18"/>
  <c r="Z323" i="18"/>
  <c r="J323" i="18"/>
  <c r="H323" i="18"/>
  <c r="BJ322" i="18"/>
  <c r="BI322" i="18"/>
  <c r="AC322" i="18" s="1"/>
  <c r="BH322" i="18"/>
  <c r="AB322" i="18" s="1"/>
  <c r="BF322" i="18"/>
  <c r="BD322" i="18"/>
  <c r="AX322" i="18"/>
  <c r="AW322" i="18"/>
  <c r="BC322" i="18" s="1"/>
  <c r="AV322" i="18"/>
  <c r="AP322" i="18"/>
  <c r="AO322" i="18"/>
  <c r="AK322" i="18"/>
  <c r="AJ322" i="18"/>
  <c r="AH322" i="18"/>
  <c r="AG322" i="18"/>
  <c r="AF322" i="18"/>
  <c r="AE322" i="18"/>
  <c r="AD322" i="18"/>
  <c r="Z322" i="18"/>
  <c r="J322" i="18"/>
  <c r="AL322" i="18" s="1"/>
  <c r="I322" i="18"/>
  <c r="H322" i="18"/>
  <c r="AU321" i="18"/>
  <c r="AT321" i="18"/>
  <c r="AS321" i="18"/>
  <c r="BJ319" i="18"/>
  <c r="BF319" i="18"/>
  <c r="BD319" i="18"/>
  <c r="AP319" i="18"/>
  <c r="AO319" i="18"/>
  <c r="AL319" i="18"/>
  <c r="AK319" i="18"/>
  <c r="AJ319" i="18"/>
  <c r="AH319" i="18"/>
  <c r="AG319" i="18"/>
  <c r="AF319" i="18"/>
  <c r="AE319" i="18"/>
  <c r="AD319" i="18"/>
  <c r="AC319" i="18"/>
  <c r="AB319" i="18"/>
  <c r="Z319" i="18"/>
  <c r="J319" i="18"/>
  <c r="I319" i="18"/>
  <c r="BJ317" i="18"/>
  <c r="BF317" i="18"/>
  <c r="BD317" i="18"/>
  <c r="AP317" i="18"/>
  <c r="BI317" i="18" s="1"/>
  <c r="AO317" i="18"/>
  <c r="AL317" i="18"/>
  <c r="AK317" i="18"/>
  <c r="AJ317" i="18"/>
  <c r="AH317" i="18"/>
  <c r="AG317" i="18"/>
  <c r="AF317" i="18"/>
  <c r="AE317" i="18"/>
  <c r="AD317" i="18"/>
  <c r="AC317" i="18"/>
  <c r="AB317" i="18"/>
  <c r="Z317" i="18"/>
  <c r="J317" i="18"/>
  <c r="I317" i="18"/>
  <c r="H317" i="18"/>
  <c r="BJ315" i="18"/>
  <c r="BF315" i="18"/>
  <c r="BD315" i="18"/>
  <c r="AP315" i="18"/>
  <c r="AO315" i="18"/>
  <c r="AL315" i="18"/>
  <c r="AK315" i="18"/>
  <c r="AJ315" i="18"/>
  <c r="AH315" i="18"/>
  <c r="AG315" i="18"/>
  <c r="AF315" i="18"/>
  <c r="AE315" i="18"/>
  <c r="AD315" i="18"/>
  <c r="AC315" i="18"/>
  <c r="AB315" i="18"/>
  <c r="Z315" i="18"/>
  <c r="J315" i="18"/>
  <c r="I315" i="18"/>
  <c r="BJ313" i="18"/>
  <c r="BF313" i="18"/>
  <c r="BD313" i="18"/>
  <c r="AP313" i="18"/>
  <c r="AO313" i="18"/>
  <c r="AK313" i="18"/>
  <c r="AJ313" i="18"/>
  <c r="AH313" i="18"/>
  <c r="AG313" i="18"/>
  <c r="AF313" i="18"/>
  <c r="AE313" i="18"/>
  <c r="AD313" i="18"/>
  <c r="AC313" i="18"/>
  <c r="AB313" i="18"/>
  <c r="Z313" i="18"/>
  <c r="J313" i="18"/>
  <c r="BJ311" i="18"/>
  <c r="BH311" i="18"/>
  <c r="BF311" i="18"/>
  <c r="BD311" i="18"/>
  <c r="AX311" i="18"/>
  <c r="AW311" i="18"/>
  <c r="AV311" i="18" s="1"/>
  <c r="AP311" i="18"/>
  <c r="AO311" i="18"/>
  <c r="AK311" i="18"/>
  <c r="AJ311" i="18"/>
  <c r="AH311" i="18"/>
  <c r="AG311" i="18"/>
  <c r="AF311" i="18"/>
  <c r="AE311" i="18"/>
  <c r="AD311" i="18"/>
  <c r="AC311" i="18"/>
  <c r="AB311" i="18"/>
  <c r="Z311" i="18"/>
  <c r="J311" i="18"/>
  <c r="AL311" i="18" s="1"/>
  <c r="H311" i="18"/>
  <c r="BJ309" i="18"/>
  <c r="Z309" i="18" s="1"/>
  <c r="BI309" i="18"/>
  <c r="BH309" i="18"/>
  <c r="BF309" i="18"/>
  <c r="BD309" i="18"/>
  <c r="AX309" i="18"/>
  <c r="AW309" i="18"/>
  <c r="BC309" i="18" s="1"/>
  <c r="AV309" i="18"/>
  <c r="AP309" i="18"/>
  <c r="AO309" i="18"/>
  <c r="AK309" i="18"/>
  <c r="AJ309" i="18"/>
  <c r="AH309" i="18"/>
  <c r="AG309" i="18"/>
  <c r="AF309" i="18"/>
  <c r="AE309" i="18"/>
  <c r="AD309" i="18"/>
  <c r="AC309" i="18"/>
  <c r="AB309" i="18"/>
  <c r="J309" i="18"/>
  <c r="AL309" i="18" s="1"/>
  <c r="I309" i="18"/>
  <c r="H309" i="18"/>
  <c r="BJ307" i="18"/>
  <c r="Z307" i="18" s="1"/>
  <c r="BI307" i="18"/>
  <c r="BH307" i="18"/>
  <c r="BF307" i="18"/>
  <c r="BD307" i="18"/>
  <c r="AX307" i="18"/>
  <c r="AW307" i="18"/>
  <c r="AV307" i="18" s="1"/>
  <c r="AP307" i="18"/>
  <c r="AO307" i="18"/>
  <c r="AL307" i="18"/>
  <c r="AK307" i="18"/>
  <c r="AJ307" i="18"/>
  <c r="AH307" i="18"/>
  <c r="AG307" i="18"/>
  <c r="AF307" i="18"/>
  <c r="AE307" i="18"/>
  <c r="AD307" i="18"/>
  <c r="AC307" i="18"/>
  <c r="AB307" i="18"/>
  <c r="J307" i="18"/>
  <c r="I307" i="18"/>
  <c r="H307" i="18"/>
  <c r="AS306" i="18"/>
  <c r="BJ304" i="18"/>
  <c r="BF304" i="18"/>
  <c r="BD304" i="18"/>
  <c r="AX304" i="18"/>
  <c r="AP304" i="18"/>
  <c r="BI304" i="18" s="1"/>
  <c r="AG304" i="18" s="1"/>
  <c r="AO304" i="18"/>
  <c r="BH304" i="18" s="1"/>
  <c r="AF304" i="18" s="1"/>
  <c r="AL304" i="18"/>
  <c r="AU303" i="18" s="1"/>
  <c r="AK304" i="18"/>
  <c r="AT303" i="18" s="1"/>
  <c r="AJ304" i="18"/>
  <c r="AH304" i="18"/>
  <c r="AE304" i="18"/>
  <c r="AD304" i="18"/>
  <c r="AC304" i="18"/>
  <c r="AB304" i="18"/>
  <c r="Z304" i="18"/>
  <c r="J304" i="18"/>
  <c r="J303" i="18" s="1"/>
  <c r="I304" i="18"/>
  <c r="H304" i="18"/>
  <c r="AS303" i="18"/>
  <c r="I303" i="18"/>
  <c r="H303" i="18"/>
  <c r="BJ302" i="18"/>
  <c r="BI302" i="18"/>
  <c r="AC302" i="18" s="1"/>
  <c r="BH302" i="18"/>
  <c r="AB302" i="18" s="1"/>
  <c r="BF302" i="18"/>
  <c r="BD302" i="18"/>
  <c r="AP302" i="18"/>
  <c r="AX302" i="18" s="1"/>
  <c r="AO302" i="18"/>
  <c r="AW302" i="18" s="1"/>
  <c r="AL302" i="18"/>
  <c r="AK302" i="18"/>
  <c r="AJ302" i="18"/>
  <c r="AH302" i="18"/>
  <c r="AG302" i="18"/>
  <c r="AF302" i="18"/>
  <c r="AE302" i="18"/>
  <c r="AD302" i="18"/>
  <c r="Z302" i="18"/>
  <c r="J302" i="18"/>
  <c r="I302" i="18"/>
  <c r="H302" i="18"/>
  <c r="BJ301" i="18"/>
  <c r="BF301" i="18"/>
  <c r="BD301" i="18"/>
  <c r="AP301" i="18"/>
  <c r="AO301" i="18"/>
  <c r="AL301" i="18"/>
  <c r="AU297" i="18" s="1"/>
  <c r="AK301" i="18"/>
  <c r="AT297" i="18" s="1"/>
  <c r="AJ301" i="18"/>
  <c r="AH301" i="18"/>
  <c r="AG301" i="18"/>
  <c r="AF301" i="18"/>
  <c r="AE301" i="18"/>
  <c r="AD301" i="18"/>
  <c r="Z301" i="18"/>
  <c r="J301" i="18"/>
  <c r="I301" i="18"/>
  <c r="H301" i="18"/>
  <c r="BJ298" i="18"/>
  <c r="BI298" i="18"/>
  <c r="BF298" i="18"/>
  <c r="BD298" i="18"/>
  <c r="AP298" i="18"/>
  <c r="AX298" i="18" s="1"/>
  <c r="AO298" i="18"/>
  <c r="AL298" i="18"/>
  <c r="AK298" i="18"/>
  <c r="AJ298" i="18"/>
  <c r="AH298" i="18"/>
  <c r="AG298" i="18"/>
  <c r="AE298" i="18"/>
  <c r="AD298" i="18"/>
  <c r="AC298" i="18"/>
  <c r="AB298" i="18"/>
  <c r="Z298" i="18"/>
  <c r="J298" i="18"/>
  <c r="I298" i="18"/>
  <c r="H298" i="18"/>
  <c r="AS297" i="18"/>
  <c r="BJ295" i="18"/>
  <c r="BI295" i="18"/>
  <c r="BH295" i="18"/>
  <c r="BF295" i="18"/>
  <c r="BD295" i="18"/>
  <c r="AX295" i="18"/>
  <c r="AW295" i="18"/>
  <c r="BC295" i="18" s="1"/>
  <c r="AV295" i="18"/>
  <c r="AP295" i="18"/>
  <c r="I295" i="18" s="1"/>
  <c r="I294" i="18" s="1"/>
  <c r="AO295" i="18"/>
  <c r="AK295" i="18"/>
  <c r="AJ295" i="18"/>
  <c r="AH295" i="18"/>
  <c r="AG295" i="18"/>
  <c r="AF295" i="18"/>
  <c r="AE295" i="18"/>
  <c r="AD295" i="18"/>
  <c r="AC295" i="18"/>
  <c r="AB295" i="18"/>
  <c r="Z295" i="18"/>
  <c r="J295" i="18"/>
  <c r="AL295" i="18" s="1"/>
  <c r="H295" i="18"/>
  <c r="AU294" i="18"/>
  <c r="AT294" i="18"/>
  <c r="AS294" i="18"/>
  <c r="J294" i="18"/>
  <c r="H294" i="18"/>
  <c r="BJ292" i="18"/>
  <c r="BF292" i="18"/>
  <c r="BD292" i="18"/>
  <c r="AP292" i="18"/>
  <c r="I292" i="18" s="1"/>
  <c r="I291" i="18" s="1"/>
  <c r="AO292" i="18"/>
  <c r="AK292" i="18"/>
  <c r="AT291" i="18" s="1"/>
  <c r="AJ292" i="18"/>
  <c r="AS291" i="18" s="1"/>
  <c r="AH292" i="18"/>
  <c r="AG292" i="18"/>
  <c r="AF292" i="18"/>
  <c r="AE292" i="18"/>
  <c r="AD292" i="18"/>
  <c r="AC292" i="18"/>
  <c r="AB292" i="18"/>
  <c r="Z292" i="18"/>
  <c r="J292" i="18"/>
  <c r="BJ289" i="18"/>
  <c r="Z289" i="18" s="1"/>
  <c r="BI289" i="18"/>
  <c r="BH289" i="18"/>
  <c r="BF289" i="18"/>
  <c r="BD289" i="18"/>
  <c r="AX289" i="18"/>
  <c r="AW289" i="18"/>
  <c r="AV289" i="18" s="1"/>
  <c r="AP289" i="18"/>
  <c r="AO289" i="18"/>
  <c r="AL289" i="18"/>
  <c r="AK289" i="18"/>
  <c r="AJ289" i="18"/>
  <c r="AH289" i="18"/>
  <c r="AG289" i="18"/>
  <c r="AF289" i="18"/>
  <c r="AE289" i="18"/>
  <c r="AD289" i="18"/>
  <c r="AC289" i="18"/>
  <c r="AB289" i="18"/>
  <c r="J289" i="18"/>
  <c r="I289" i="18"/>
  <c r="H289" i="18"/>
  <c r="AU288" i="18"/>
  <c r="AT288" i="18"/>
  <c r="AS288" i="18"/>
  <c r="J288" i="18"/>
  <c r="I288" i="18"/>
  <c r="H288" i="18"/>
  <c r="BJ282" i="18"/>
  <c r="BF282" i="18"/>
  <c r="BD282" i="18"/>
  <c r="AP282" i="18"/>
  <c r="AO282" i="18"/>
  <c r="H282" i="18" s="1"/>
  <c r="H281" i="18" s="1"/>
  <c r="AL282" i="18"/>
  <c r="AU281" i="18" s="1"/>
  <c r="AK282" i="18"/>
  <c r="AT281" i="18" s="1"/>
  <c r="AJ282" i="18"/>
  <c r="AH282" i="18"/>
  <c r="AG282" i="18"/>
  <c r="AF282" i="18"/>
  <c r="AE282" i="18"/>
  <c r="AD282" i="18"/>
  <c r="Z282" i="18"/>
  <c r="J282" i="18"/>
  <c r="I282" i="18"/>
  <c r="AS281" i="18"/>
  <c r="J281" i="18"/>
  <c r="I281" i="18"/>
  <c r="BJ278" i="18"/>
  <c r="BF278" i="18"/>
  <c r="BD278" i="18"/>
  <c r="AP278" i="18"/>
  <c r="AO278" i="18"/>
  <c r="AL278" i="18"/>
  <c r="AK278" i="18"/>
  <c r="AT277" i="18" s="1"/>
  <c r="AJ278" i="18"/>
  <c r="AH278" i="18"/>
  <c r="AG278" i="18"/>
  <c r="AF278" i="18"/>
  <c r="AE278" i="18"/>
  <c r="AD278" i="18"/>
  <c r="Z278" i="18"/>
  <c r="J278" i="18"/>
  <c r="I278" i="18"/>
  <c r="I277" i="18" s="1"/>
  <c r="H278" i="18"/>
  <c r="H277" i="18" s="1"/>
  <c r="AU277" i="18"/>
  <c r="AS277" i="18"/>
  <c r="J277" i="18"/>
  <c r="BJ275" i="18"/>
  <c r="BF275" i="18"/>
  <c r="BD275" i="18"/>
  <c r="AX275" i="18"/>
  <c r="AP275" i="18"/>
  <c r="AO275" i="18"/>
  <c r="AK275" i="18"/>
  <c r="AJ275" i="18"/>
  <c r="AH275" i="18"/>
  <c r="AG275" i="18"/>
  <c r="AF275" i="18"/>
  <c r="AE275" i="18"/>
  <c r="AD275" i="18"/>
  <c r="Z275" i="18"/>
  <c r="J275" i="18"/>
  <c r="AT274" i="18"/>
  <c r="AS274" i="18"/>
  <c r="BJ272" i="18"/>
  <c r="BI272" i="18"/>
  <c r="BH272" i="18"/>
  <c r="BF272" i="18"/>
  <c r="BD272" i="18"/>
  <c r="AW272" i="18"/>
  <c r="AP272" i="18"/>
  <c r="AO272" i="18"/>
  <c r="H272" i="18" s="1"/>
  <c r="AK272" i="18"/>
  <c r="AJ272" i="18"/>
  <c r="AH272" i="18"/>
  <c r="AG272" i="18"/>
  <c r="AF272" i="18"/>
  <c r="AE272" i="18"/>
  <c r="AD272" i="18"/>
  <c r="AC272" i="18"/>
  <c r="AB272" i="18"/>
  <c r="Z272" i="18"/>
  <c r="J272" i="18"/>
  <c r="AL272" i="18" s="1"/>
  <c r="BJ270" i="18"/>
  <c r="BF270" i="18"/>
  <c r="BD270" i="18"/>
  <c r="AP270" i="18"/>
  <c r="AO270" i="18"/>
  <c r="AK270" i="18"/>
  <c r="AJ270" i="18"/>
  <c r="AH270" i="18"/>
  <c r="AG270" i="18"/>
  <c r="AF270" i="18"/>
  <c r="AE270" i="18"/>
  <c r="AD270" i="18"/>
  <c r="Z270" i="18"/>
  <c r="J270" i="18"/>
  <c r="AL270" i="18" s="1"/>
  <c r="BJ268" i="18"/>
  <c r="BF268" i="18"/>
  <c r="BD268" i="18"/>
  <c r="AP268" i="18"/>
  <c r="AO268" i="18"/>
  <c r="AW268" i="18" s="1"/>
  <c r="AK268" i="18"/>
  <c r="AT267" i="18" s="1"/>
  <c r="AJ268" i="18"/>
  <c r="AS267" i="18" s="1"/>
  <c r="AH268" i="18"/>
  <c r="AG268" i="18"/>
  <c r="AF268" i="18"/>
  <c r="AE268" i="18"/>
  <c r="AD268" i="18"/>
  <c r="Z268" i="18"/>
  <c r="J268" i="18"/>
  <c r="BJ265" i="18"/>
  <c r="BI265" i="18"/>
  <c r="AC265" i="18" s="1"/>
  <c r="BH265" i="18"/>
  <c r="AB265" i="18" s="1"/>
  <c r="BF265" i="18"/>
  <c r="BD265" i="18"/>
  <c r="BC265" i="18"/>
  <c r="AX265" i="18"/>
  <c r="AP265" i="18"/>
  <c r="AO265" i="18"/>
  <c r="AW265" i="18" s="1"/>
  <c r="AK265" i="18"/>
  <c r="AJ265" i="18"/>
  <c r="AS262" i="18" s="1"/>
  <c r="AH265" i="18"/>
  <c r="AG265" i="18"/>
  <c r="AF265" i="18"/>
  <c r="AE265" i="18"/>
  <c r="AD265" i="18"/>
  <c r="Z265" i="18"/>
  <c r="J265" i="18"/>
  <c r="AL265" i="18" s="1"/>
  <c r="AU262" i="18" s="1"/>
  <c r="I265" i="18"/>
  <c r="H265" i="18"/>
  <c r="BJ263" i="18"/>
  <c r="BF263" i="18"/>
  <c r="BD263" i="18"/>
  <c r="AP263" i="18"/>
  <c r="AO263" i="18"/>
  <c r="AL263" i="18"/>
  <c r="AK263" i="18"/>
  <c r="AT262" i="18" s="1"/>
  <c r="AJ263" i="18"/>
  <c r="AH263" i="18"/>
  <c r="AG263" i="18"/>
  <c r="AF263" i="18"/>
  <c r="AE263" i="18"/>
  <c r="AD263" i="18"/>
  <c r="Z263" i="18"/>
  <c r="J263" i="18"/>
  <c r="I263" i="18"/>
  <c r="I262" i="18" s="1"/>
  <c r="H263" i="18"/>
  <c r="H262" i="18" s="1"/>
  <c r="BJ260" i="18"/>
  <c r="BH260" i="18"/>
  <c r="BF260" i="18"/>
  <c r="BD260" i="18"/>
  <c r="AW260" i="18"/>
  <c r="AP260" i="18"/>
  <c r="AX260" i="18" s="1"/>
  <c r="AV260" i="18" s="1"/>
  <c r="AO260" i="18"/>
  <c r="H260" i="18" s="1"/>
  <c r="AK260" i="18"/>
  <c r="AJ260" i="18"/>
  <c r="AH260" i="18"/>
  <c r="AG260" i="18"/>
  <c r="AF260" i="18"/>
  <c r="AE260" i="18"/>
  <c r="AD260" i="18"/>
  <c r="AB260" i="18"/>
  <c r="Z260" i="18"/>
  <c r="J260" i="18"/>
  <c r="AL260" i="18" s="1"/>
  <c r="BJ258" i="18"/>
  <c r="BH258" i="18"/>
  <c r="BF258" i="18"/>
  <c r="BD258" i="18"/>
  <c r="AW258" i="18"/>
  <c r="AP258" i="18"/>
  <c r="AO258" i="18"/>
  <c r="AL258" i="18"/>
  <c r="AK258" i="18"/>
  <c r="AJ258" i="18"/>
  <c r="AH258" i="18"/>
  <c r="AG258" i="18"/>
  <c r="AF258" i="18"/>
  <c r="AE258" i="18"/>
  <c r="AD258" i="18"/>
  <c r="AB258" i="18"/>
  <c r="Z258" i="18"/>
  <c r="J258" i="18"/>
  <c r="H258" i="18"/>
  <c r="BJ255" i="18"/>
  <c r="BI255" i="18"/>
  <c r="BH255" i="18"/>
  <c r="BF255" i="18"/>
  <c r="BD255" i="18"/>
  <c r="AX255" i="18"/>
  <c r="AW255" i="18"/>
  <c r="BC255" i="18" s="1"/>
  <c r="AV255" i="18"/>
  <c r="AP255" i="18"/>
  <c r="AO255" i="18"/>
  <c r="AL255" i="18"/>
  <c r="AK255" i="18"/>
  <c r="AJ255" i="18"/>
  <c r="AH255" i="18"/>
  <c r="AG255" i="18"/>
  <c r="AF255" i="18"/>
  <c r="AE255" i="18"/>
  <c r="AD255" i="18"/>
  <c r="AC255" i="18"/>
  <c r="AB255" i="18"/>
  <c r="Z255" i="18"/>
  <c r="J255" i="18"/>
  <c r="I255" i="18"/>
  <c r="H255" i="18"/>
  <c r="BJ253" i="18"/>
  <c r="BI253" i="18"/>
  <c r="BH253" i="18"/>
  <c r="AB253" i="18" s="1"/>
  <c r="BF253" i="18"/>
  <c r="BD253" i="18"/>
  <c r="AX253" i="18"/>
  <c r="AW253" i="18"/>
  <c r="AV253" i="18" s="1"/>
  <c r="AP253" i="18"/>
  <c r="AO253" i="18"/>
  <c r="AL253" i="18"/>
  <c r="AK253" i="18"/>
  <c r="AJ253" i="18"/>
  <c r="AH253" i="18"/>
  <c r="AG253" i="18"/>
  <c r="AF253" i="18"/>
  <c r="AE253" i="18"/>
  <c r="AD253" i="18"/>
  <c r="AC253" i="18"/>
  <c r="Z253" i="18"/>
  <c r="J253" i="18"/>
  <c r="I253" i="18"/>
  <c r="H253" i="18"/>
  <c r="BJ251" i="18"/>
  <c r="BI251" i="18"/>
  <c r="AC251" i="18" s="1"/>
  <c r="BF251" i="18"/>
  <c r="BD251" i="18"/>
  <c r="AX251" i="18"/>
  <c r="AP251" i="18"/>
  <c r="AO251" i="18"/>
  <c r="AL251" i="18"/>
  <c r="AK251" i="18"/>
  <c r="AJ251" i="18"/>
  <c r="AH251" i="18"/>
  <c r="AG251" i="18"/>
  <c r="AF251" i="18"/>
  <c r="AE251" i="18"/>
  <c r="AD251" i="18"/>
  <c r="Z251" i="18"/>
  <c r="J251" i="18"/>
  <c r="I251" i="18"/>
  <c r="H251" i="18"/>
  <c r="BJ249" i="18"/>
  <c r="BI249" i="18"/>
  <c r="AC249" i="18" s="1"/>
  <c r="BF249" i="18"/>
  <c r="BD249" i="18"/>
  <c r="AP249" i="18"/>
  <c r="AX249" i="18" s="1"/>
  <c r="AO249" i="18"/>
  <c r="AL249" i="18"/>
  <c r="AK249" i="18"/>
  <c r="AT244" i="18" s="1"/>
  <c r="AJ249" i="18"/>
  <c r="AH249" i="18"/>
  <c r="AG249" i="18"/>
  <c r="AF249" i="18"/>
  <c r="AE249" i="18"/>
  <c r="AD249" i="18"/>
  <c r="Z249" i="18"/>
  <c r="J249" i="18"/>
  <c r="I249" i="18"/>
  <c r="H249" i="18"/>
  <c r="BJ247" i="18"/>
  <c r="BI247" i="18"/>
  <c r="AC247" i="18" s="1"/>
  <c r="BH247" i="18"/>
  <c r="BF247" i="18"/>
  <c r="BD247" i="18"/>
  <c r="AP247" i="18"/>
  <c r="AO247" i="18"/>
  <c r="AW247" i="18" s="1"/>
  <c r="AK247" i="18"/>
  <c r="AJ247" i="18"/>
  <c r="AH247" i="18"/>
  <c r="AG247" i="18"/>
  <c r="AF247" i="18"/>
  <c r="AE247" i="18"/>
  <c r="AD247" i="18"/>
  <c r="AB247" i="18"/>
  <c r="Z247" i="18"/>
  <c r="J247" i="18"/>
  <c r="AL247" i="18" s="1"/>
  <c r="H247" i="18"/>
  <c r="BJ245" i="18"/>
  <c r="BH245" i="18"/>
  <c r="BF245" i="18"/>
  <c r="BD245" i="18"/>
  <c r="AW245" i="18"/>
  <c r="AP245" i="18"/>
  <c r="AO245" i="18"/>
  <c r="H245" i="18" s="1"/>
  <c r="AL245" i="18"/>
  <c r="AK245" i="18"/>
  <c r="AJ245" i="18"/>
  <c r="AH245" i="18"/>
  <c r="AG245" i="18"/>
  <c r="AF245" i="18"/>
  <c r="AE245" i="18"/>
  <c r="AD245" i="18"/>
  <c r="AB245" i="18"/>
  <c r="Z245" i="18"/>
  <c r="J245" i="18"/>
  <c r="BJ243" i="18"/>
  <c r="BI243" i="18"/>
  <c r="BH243" i="18"/>
  <c r="AB243" i="18" s="1"/>
  <c r="BF243" i="18"/>
  <c r="BD243" i="18"/>
  <c r="AX243" i="18"/>
  <c r="AW243" i="18"/>
  <c r="AP243" i="18"/>
  <c r="AO243" i="18"/>
  <c r="AL243" i="18"/>
  <c r="AK243" i="18"/>
  <c r="AJ243" i="18"/>
  <c r="AH243" i="18"/>
  <c r="AG243" i="18"/>
  <c r="AF243" i="18"/>
  <c r="AE243" i="18"/>
  <c r="AD243" i="18"/>
  <c r="AC243" i="18"/>
  <c r="Z243" i="18"/>
  <c r="J243" i="18"/>
  <c r="I243" i="18"/>
  <c r="H243" i="18"/>
  <c r="BJ242" i="18"/>
  <c r="BI242" i="18"/>
  <c r="BH242" i="18"/>
  <c r="AB242" i="18" s="1"/>
  <c r="BF242" i="18"/>
  <c r="BD242" i="18"/>
  <c r="AX242" i="18"/>
  <c r="BC242" i="18" s="1"/>
  <c r="AW242" i="18"/>
  <c r="AP242" i="18"/>
  <c r="AO242" i="18"/>
  <c r="AL242" i="18"/>
  <c r="AK242" i="18"/>
  <c r="AJ242" i="18"/>
  <c r="AH242" i="18"/>
  <c r="AG242" i="18"/>
  <c r="AF242" i="18"/>
  <c r="AE242" i="18"/>
  <c r="AD242" i="18"/>
  <c r="AC242" i="18"/>
  <c r="Z242" i="18"/>
  <c r="J242" i="18"/>
  <c r="I242" i="18"/>
  <c r="H242" i="18"/>
  <c r="BJ239" i="18"/>
  <c r="BI239" i="18"/>
  <c r="AC239" i="18" s="1"/>
  <c r="BH239" i="18"/>
  <c r="AB239" i="18" s="1"/>
  <c r="BF239" i="18"/>
  <c r="BD239" i="18"/>
  <c r="AX239" i="18"/>
  <c r="BC239" i="18" s="1"/>
  <c r="AP239" i="18"/>
  <c r="AO239" i="18"/>
  <c r="AW239" i="18" s="1"/>
  <c r="AK239" i="18"/>
  <c r="AJ239" i="18"/>
  <c r="AH239" i="18"/>
  <c r="AG239" i="18"/>
  <c r="AF239" i="18"/>
  <c r="AE239" i="18"/>
  <c r="AD239" i="18"/>
  <c r="Z239" i="18"/>
  <c r="J239" i="18"/>
  <c r="AL239" i="18" s="1"/>
  <c r="I239" i="18"/>
  <c r="H239" i="18"/>
  <c r="BJ238" i="18"/>
  <c r="BF238" i="18"/>
  <c r="BD238" i="18"/>
  <c r="AP238" i="18"/>
  <c r="AO238" i="18"/>
  <c r="AK238" i="18"/>
  <c r="AJ238" i="18"/>
  <c r="AH238" i="18"/>
  <c r="AG238" i="18"/>
  <c r="AF238" i="18"/>
  <c r="AE238" i="18"/>
  <c r="AD238" i="18"/>
  <c r="Z238" i="18"/>
  <c r="J238" i="18"/>
  <c r="AL238" i="18" s="1"/>
  <c r="I238" i="18"/>
  <c r="H238" i="18"/>
  <c r="BJ237" i="18"/>
  <c r="BI237" i="18"/>
  <c r="AC237" i="18" s="1"/>
  <c r="BF237" i="18"/>
  <c r="BD237" i="18"/>
  <c r="AP237" i="18"/>
  <c r="AX237" i="18" s="1"/>
  <c r="AO237" i="18"/>
  <c r="AL237" i="18"/>
  <c r="AK237" i="18"/>
  <c r="AJ237" i="18"/>
  <c r="AH237" i="18"/>
  <c r="AG237" i="18"/>
  <c r="AF237" i="18"/>
  <c r="AE237" i="18"/>
  <c r="AD237" i="18"/>
  <c r="Z237" i="18"/>
  <c r="J237" i="18"/>
  <c r="I237" i="18"/>
  <c r="H237" i="18"/>
  <c r="BJ234" i="18"/>
  <c r="BI234" i="18"/>
  <c r="AC234" i="18" s="1"/>
  <c r="BH234" i="18"/>
  <c r="AB234" i="18" s="1"/>
  <c r="BF234" i="18"/>
  <c r="BD234" i="18"/>
  <c r="AW234" i="18"/>
  <c r="AP234" i="18"/>
  <c r="AX234" i="18" s="1"/>
  <c r="AO234" i="18"/>
  <c r="AL234" i="18"/>
  <c r="AK234" i="18"/>
  <c r="AJ234" i="18"/>
  <c r="AH234" i="18"/>
  <c r="AG234" i="18"/>
  <c r="AF234" i="18"/>
  <c r="AE234" i="18"/>
  <c r="AD234" i="18"/>
  <c r="Z234" i="18"/>
  <c r="J234" i="18"/>
  <c r="H234" i="18"/>
  <c r="BJ233" i="18"/>
  <c r="BI233" i="18"/>
  <c r="BH233" i="18"/>
  <c r="AB233" i="18" s="1"/>
  <c r="BF233" i="18"/>
  <c r="BD233" i="18"/>
  <c r="AX233" i="18"/>
  <c r="AW233" i="18"/>
  <c r="AP233" i="18"/>
  <c r="I233" i="18" s="1"/>
  <c r="AO233" i="18"/>
  <c r="AL233" i="18"/>
  <c r="AK233" i="18"/>
  <c r="AJ233" i="18"/>
  <c r="AH233" i="18"/>
  <c r="AG233" i="18"/>
  <c r="AF233" i="18"/>
  <c r="AE233" i="18"/>
  <c r="AD233" i="18"/>
  <c r="AC233" i="18"/>
  <c r="Z233" i="18"/>
  <c r="J233" i="18"/>
  <c r="H233" i="18"/>
  <c r="BJ232" i="18"/>
  <c r="BI232" i="18"/>
  <c r="BF232" i="18"/>
  <c r="BD232" i="18"/>
  <c r="AX232" i="18"/>
  <c r="AW232" i="18"/>
  <c r="AP232" i="18"/>
  <c r="I232" i="18" s="1"/>
  <c r="AO232" i="18"/>
  <c r="BH232" i="18" s="1"/>
  <c r="AL232" i="18"/>
  <c r="AK232" i="18"/>
  <c r="AJ232" i="18"/>
  <c r="AH232" i="18"/>
  <c r="AG232" i="18"/>
  <c r="AF232" i="18"/>
  <c r="AE232" i="18"/>
  <c r="AD232" i="18"/>
  <c r="AC232" i="18"/>
  <c r="AB232" i="18"/>
  <c r="Z232" i="18"/>
  <c r="J232" i="18"/>
  <c r="H232" i="18"/>
  <c r="BJ231" i="18"/>
  <c r="BF231" i="18"/>
  <c r="BD231" i="18"/>
  <c r="AX231" i="18"/>
  <c r="AW231" i="18"/>
  <c r="BC231" i="18" s="1"/>
  <c r="AV231" i="18"/>
  <c r="AP231" i="18"/>
  <c r="BI231" i="18" s="1"/>
  <c r="AO231" i="18"/>
  <c r="BH231" i="18" s="1"/>
  <c r="AK231" i="18"/>
  <c r="AJ231" i="18"/>
  <c r="AH231" i="18"/>
  <c r="AG231" i="18"/>
  <c r="AF231" i="18"/>
  <c r="AE231" i="18"/>
  <c r="AD231" i="18"/>
  <c r="AC231" i="18"/>
  <c r="AB231" i="18"/>
  <c r="Z231" i="18"/>
  <c r="J231" i="18"/>
  <c r="AL231" i="18" s="1"/>
  <c r="BJ230" i="18"/>
  <c r="BF230" i="18"/>
  <c r="BD230" i="18"/>
  <c r="AW230" i="18"/>
  <c r="AP230" i="18"/>
  <c r="AO230" i="18"/>
  <c r="AL230" i="18"/>
  <c r="AK230" i="18"/>
  <c r="AJ230" i="18"/>
  <c r="AH230" i="18"/>
  <c r="AG230" i="18"/>
  <c r="AF230" i="18"/>
  <c r="AE230" i="18"/>
  <c r="AD230" i="18"/>
  <c r="Z230" i="18"/>
  <c r="J230" i="18"/>
  <c r="BJ229" i="18"/>
  <c r="BF229" i="18"/>
  <c r="BD229" i="18"/>
  <c r="AX229" i="18"/>
  <c r="AW229" i="18"/>
  <c r="BC229" i="18" s="1"/>
  <c r="AV229" i="18"/>
  <c r="AP229" i="18"/>
  <c r="AO229" i="18"/>
  <c r="AK229" i="18"/>
  <c r="AJ229" i="18"/>
  <c r="AH229" i="18"/>
  <c r="AG229" i="18"/>
  <c r="AF229" i="18"/>
  <c r="AE229" i="18"/>
  <c r="AD229" i="18"/>
  <c r="Z229" i="18"/>
  <c r="J229" i="18"/>
  <c r="AL229" i="18" s="1"/>
  <c r="BJ228" i="18"/>
  <c r="BH228" i="18"/>
  <c r="BF228" i="18"/>
  <c r="BD228" i="18"/>
  <c r="AW228" i="18"/>
  <c r="AP228" i="18"/>
  <c r="AO228" i="18"/>
  <c r="AK228" i="18"/>
  <c r="AJ228" i="18"/>
  <c r="AH228" i="18"/>
  <c r="AG228" i="18"/>
  <c r="AF228" i="18"/>
  <c r="AE228" i="18"/>
  <c r="AD228" i="18"/>
  <c r="AB228" i="18"/>
  <c r="Z228" i="18"/>
  <c r="J228" i="18"/>
  <c r="AL228" i="18" s="1"/>
  <c r="H228" i="18"/>
  <c r="BJ227" i="18"/>
  <c r="BI227" i="18"/>
  <c r="BH227" i="18"/>
  <c r="BF227" i="18"/>
  <c r="BD227" i="18"/>
  <c r="AX227" i="18"/>
  <c r="AW227" i="18"/>
  <c r="BC227" i="18" s="1"/>
  <c r="AV227" i="18"/>
  <c r="AP227" i="18"/>
  <c r="AO227" i="18"/>
  <c r="AL227" i="18"/>
  <c r="AK227" i="18"/>
  <c r="AJ227" i="18"/>
  <c r="AH227" i="18"/>
  <c r="AG227" i="18"/>
  <c r="AF227" i="18"/>
  <c r="AE227" i="18"/>
  <c r="AD227" i="18"/>
  <c r="AC227" i="18"/>
  <c r="AB227" i="18"/>
  <c r="Z227" i="18"/>
  <c r="J227" i="18"/>
  <c r="I227" i="18"/>
  <c r="H227" i="18"/>
  <c r="BJ219" i="18"/>
  <c r="BI219" i="18"/>
  <c r="BH219" i="18"/>
  <c r="AB219" i="18" s="1"/>
  <c r="BF219" i="18"/>
  <c r="BD219" i="18"/>
  <c r="AX219" i="18"/>
  <c r="AW219" i="18"/>
  <c r="AV219" i="18" s="1"/>
  <c r="AP219" i="18"/>
  <c r="AO219" i="18"/>
  <c r="AL219" i="18"/>
  <c r="AK219" i="18"/>
  <c r="AJ219" i="18"/>
  <c r="AH219" i="18"/>
  <c r="AG219" i="18"/>
  <c r="AF219" i="18"/>
  <c r="AE219" i="18"/>
  <c r="AD219" i="18"/>
  <c r="AC219" i="18"/>
  <c r="Z219" i="18"/>
  <c r="J219" i="18"/>
  <c r="I219" i="18"/>
  <c r="H219" i="18"/>
  <c r="BJ218" i="18"/>
  <c r="BI218" i="18"/>
  <c r="AC218" i="18" s="1"/>
  <c r="BF218" i="18"/>
  <c r="BD218" i="18"/>
  <c r="AX218" i="18"/>
  <c r="AP218" i="18"/>
  <c r="AO218" i="18"/>
  <c r="AL218" i="18"/>
  <c r="AK218" i="18"/>
  <c r="AJ218" i="18"/>
  <c r="AH218" i="18"/>
  <c r="AG218" i="18"/>
  <c r="AF218" i="18"/>
  <c r="AE218" i="18"/>
  <c r="AD218" i="18"/>
  <c r="Z218" i="18"/>
  <c r="J218" i="18"/>
  <c r="I218" i="18"/>
  <c r="H218" i="18"/>
  <c r="BJ217" i="18"/>
  <c r="BI217" i="18"/>
  <c r="AC217" i="18" s="1"/>
  <c r="BH217" i="18"/>
  <c r="AB217" i="18" s="1"/>
  <c r="BF217" i="18"/>
  <c r="BD217" i="18"/>
  <c r="AP217" i="18"/>
  <c r="AX217" i="18" s="1"/>
  <c r="BC217" i="18" s="1"/>
  <c r="AO217" i="18"/>
  <c r="AW217" i="18" s="1"/>
  <c r="AL217" i="18"/>
  <c r="AK217" i="18"/>
  <c r="AJ217" i="18"/>
  <c r="AH217" i="18"/>
  <c r="AG217" i="18"/>
  <c r="AF217" i="18"/>
  <c r="AE217" i="18"/>
  <c r="AD217" i="18"/>
  <c r="Z217" i="18"/>
  <c r="J217" i="18"/>
  <c r="I217" i="18"/>
  <c r="H217" i="18"/>
  <c r="BJ216" i="18"/>
  <c r="BF216" i="18"/>
  <c r="BD216" i="18"/>
  <c r="AP216" i="18"/>
  <c r="AX216" i="18" s="1"/>
  <c r="AO216" i="18"/>
  <c r="AW216" i="18" s="1"/>
  <c r="BC216" i="18" s="1"/>
  <c r="AL216" i="18"/>
  <c r="AU209" i="18" s="1"/>
  <c r="AK216" i="18"/>
  <c r="AJ216" i="18"/>
  <c r="AH216" i="18"/>
  <c r="AG216" i="18"/>
  <c r="AF216" i="18"/>
  <c r="AE216" i="18"/>
  <c r="AD216" i="18"/>
  <c r="Z216" i="18"/>
  <c r="J216" i="18"/>
  <c r="I216" i="18"/>
  <c r="H216" i="18"/>
  <c r="BJ215" i="18"/>
  <c r="BF215" i="18"/>
  <c r="BD215" i="18"/>
  <c r="AP215" i="18"/>
  <c r="AO215" i="18"/>
  <c r="BH215" i="18" s="1"/>
  <c r="AB215" i="18" s="1"/>
  <c r="AL215" i="18"/>
  <c r="AK215" i="18"/>
  <c r="AJ215" i="18"/>
  <c r="AH215" i="18"/>
  <c r="AG215" i="18"/>
  <c r="AF215" i="18"/>
  <c r="AE215" i="18"/>
  <c r="AD215" i="18"/>
  <c r="Z215" i="18"/>
  <c r="J215" i="18"/>
  <c r="I215" i="18"/>
  <c r="H215" i="18"/>
  <c r="BJ210" i="18"/>
  <c r="BF210" i="18"/>
  <c r="BD210" i="18"/>
  <c r="AX210" i="18"/>
  <c r="AW210" i="18"/>
  <c r="BC210" i="18" s="1"/>
  <c r="AV210" i="18"/>
  <c r="AP210" i="18"/>
  <c r="BI210" i="18" s="1"/>
  <c r="AO210" i="18"/>
  <c r="BH210" i="18" s="1"/>
  <c r="AL210" i="18"/>
  <c r="AK210" i="18"/>
  <c r="AJ210" i="18"/>
  <c r="AH210" i="18"/>
  <c r="AG210" i="18"/>
  <c r="AF210" i="18"/>
  <c r="AE210" i="18"/>
  <c r="AD210" i="18"/>
  <c r="AC210" i="18"/>
  <c r="AB210" i="18"/>
  <c r="Z210" i="18"/>
  <c r="J210" i="18"/>
  <c r="I210" i="18"/>
  <c r="H210" i="18"/>
  <c r="BJ207" i="18"/>
  <c r="BI207" i="18"/>
  <c r="BH207" i="18"/>
  <c r="BF207" i="18"/>
  <c r="BD207" i="18"/>
  <c r="AX207" i="18"/>
  <c r="BC207" i="18" s="1"/>
  <c r="AW207" i="18"/>
  <c r="AP207" i="18"/>
  <c r="AO207" i="18"/>
  <c r="AL207" i="18"/>
  <c r="AK207" i="18"/>
  <c r="AJ207" i="18"/>
  <c r="AH207" i="18"/>
  <c r="AG207" i="18"/>
  <c r="AF207" i="18"/>
  <c r="AE207" i="18"/>
  <c r="AD207" i="18"/>
  <c r="AC207" i="18"/>
  <c r="AB207" i="18"/>
  <c r="Z207" i="18"/>
  <c r="J207" i="18"/>
  <c r="I207" i="18"/>
  <c r="H207" i="18"/>
  <c r="BJ203" i="18"/>
  <c r="BI203" i="18"/>
  <c r="BH203" i="18"/>
  <c r="BF203" i="18"/>
  <c r="BD203" i="18"/>
  <c r="AX203" i="18"/>
  <c r="AP203" i="18"/>
  <c r="AO203" i="18"/>
  <c r="AL203" i="18"/>
  <c r="AU202" i="18" s="1"/>
  <c r="AK203" i="18"/>
  <c r="AT202" i="18" s="1"/>
  <c r="AJ203" i="18"/>
  <c r="AS202" i="18" s="1"/>
  <c r="AH203" i="18"/>
  <c r="AG203" i="18"/>
  <c r="AF203" i="18"/>
  <c r="AE203" i="18"/>
  <c r="AD203" i="18"/>
  <c r="AC203" i="18"/>
  <c r="AB203" i="18"/>
  <c r="Z203" i="18"/>
  <c r="J203" i="18"/>
  <c r="I203" i="18"/>
  <c r="J202" i="18"/>
  <c r="I202" i="18"/>
  <c r="BJ200" i="18"/>
  <c r="BF200" i="18"/>
  <c r="BD200" i="18"/>
  <c r="AX200" i="18"/>
  <c r="AP200" i="18"/>
  <c r="BI200" i="18" s="1"/>
  <c r="AO200" i="18"/>
  <c r="AL200" i="18"/>
  <c r="AK200" i="18"/>
  <c r="AJ200" i="18"/>
  <c r="AH200" i="18"/>
  <c r="AG200" i="18"/>
  <c r="AF200" i="18"/>
  <c r="AE200" i="18"/>
  <c r="AC200" i="18"/>
  <c r="AB200" i="18"/>
  <c r="Z200" i="18"/>
  <c r="J200" i="18"/>
  <c r="I200" i="18"/>
  <c r="BJ198" i="18"/>
  <c r="BH198" i="18"/>
  <c r="BF198" i="18"/>
  <c r="BD198" i="18"/>
  <c r="AX198" i="18"/>
  <c r="AW198" i="18"/>
  <c r="AP198" i="18"/>
  <c r="AO198" i="18"/>
  <c r="H198" i="18" s="1"/>
  <c r="AK198" i="18"/>
  <c r="AJ198" i="18"/>
  <c r="AH198" i="18"/>
  <c r="AG198" i="18"/>
  <c r="AF198" i="18"/>
  <c r="AD198" i="18"/>
  <c r="AC198" i="18"/>
  <c r="AB198" i="18"/>
  <c r="Z198" i="18"/>
  <c r="J198" i="18"/>
  <c r="AL198" i="18" s="1"/>
  <c r="BJ196" i="18"/>
  <c r="BH196" i="18"/>
  <c r="AD196" i="18" s="1"/>
  <c r="BF196" i="18"/>
  <c r="BD196" i="18"/>
  <c r="AW196" i="18"/>
  <c r="AP196" i="18"/>
  <c r="AX196" i="18" s="1"/>
  <c r="AV196" i="18" s="1"/>
  <c r="AO196" i="18"/>
  <c r="AK196" i="18"/>
  <c r="AJ196" i="18"/>
  <c r="AH196" i="18"/>
  <c r="AG196" i="18"/>
  <c r="AF196" i="18"/>
  <c r="AC196" i="18"/>
  <c r="AB196" i="18"/>
  <c r="Z196" i="18"/>
  <c r="J196" i="18"/>
  <c r="AL196" i="18" s="1"/>
  <c r="H196" i="18"/>
  <c r="BJ194" i="18"/>
  <c r="BI194" i="18"/>
  <c r="BH194" i="18"/>
  <c r="BF194" i="18"/>
  <c r="BD194" i="18"/>
  <c r="AX194" i="18"/>
  <c r="AW194" i="18"/>
  <c r="BC194" i="18" s="1"/>
  <c r="AV194" i="18"/>
  <c r="AP194" i="18"/>
  <c r="AO194" i="18"/>
  <c r="AL194" i="18"/>
  <c r="AK194" i="18"/>
  <c r="AJ194" i="18"/>
  <c r="AH194" i="18"/>
  <c r="AG194" i="18"/>
  <c r="AF194" i="18"/>
  <c r="AE194" i="18"/>
  <c r="AD194" i="18"/>
  <c r="AC194" i="18"/>
  <c r="AB194" i="18"/>
  <c r="Z194" i="18"/>
  <c r="J194" i="18"/>
  <c r="I194" i="18"/>
  <c r="H194" i="18"/>
  <c r="BJ192" i="18"/>
  <c r="BI192" i="18"/>
  <c r="BH192" i="18"/>
  <c r="AD192" i="18" s="1"/>
  <c r="BF192" i="18"/>
  <c r="BD192" i="18"/>
  <c r="AX192" i="18"/>
  <c r="AW192" i="18"/>
  <c r="AV192" i="18" s="1"/>
  <c r="AP192" i="18"/>
  <c r="AO192" i="18"/>
  <c r="AL192" i="18"/>
  <c r="AK192" i="18"/>
  <c r="AT189" i="18" s="1"/>
  <c r="AJ192" i="18"/>
  <c r="AH192" i="18"/>
  <c r="AG192" i="18"/>
  <c r="AF192" i="18"/>
  <c r="AE192" i="18"/>
  <c r="AC192" i="18"/>
  <c r="AB192" i="18"/>
  <c r="Z192" i="18"/>
  <c r="J192" i="18"/>
  <c r="I192" i="18"/>
  <c r="H192" i="18"/>
  <c r="BJ190" i="18"/>
  <c r="BI190" i="18"/>
  <c r="BH190" i="18"/>
  <c r="AD190" i="18" s="1"/>
  <c r="BF190" i="18"/>
  <c r="BD190" i="18"/>
  <c r="AX190" i="18"/>
  <c r="AP190" i="18"/>
  <c r="AO190" i="18"/>
  <c r="AL190" i="18"/>
  <c r="AU189" i="18" s="1"/>
  <c r="AK190" i="18"/>
  <c r="AJ190" i="18"/>
  <c r="AS189" i="18" s="1"/>
  <c r="AH190" i="18"/>
  <c r="AG190" i="18"/>
  <c r="AF190" i="18"/>
  <c r="AE190" i="18"/>
  <c r="AC190" i="18"/>
  <c r="AB190" i="18"/>
  <c r="Z190" i="18"/>
  <c r="J190" i="18"/>
  <c r="I190" i="18"/>
  <c r="J189" i="18"/>
  <c r="BJ185" i="18"/>
  <c r="BF185" i="18"/>
  <c r="BD185" i="18"/>
  <c r="AX185" i="18"/>
  <c r="AP185" i="18"/>
  <c r="BI185" i="18" s="1"/>
  <c r="AO185" i="18"/>
  <c r="AL185" i="18"/>
  <c r="AU184" i="18" s="1"/>
  <c r="AK185" i="18"/>
  <c r="AJ185" i="18"/>
  <c r="AH185" i="18"/>
  <c r="AG185" i="18"/>
  <c r="AF185" i="18"/>
  <c r="AE185" i="18"/>
  <c r="AC185" i="18"/>
  <c r="AB185" i="18"/>
  <c r="Z185" i="18"/>
  <c r="J185" i="18"/>
  <c r="I185" i="18"/>
  <c r="AT184" i="18"/>
  <c r="AS184" i="18"/>
  <c r="J184" i="18"/>
  <c r="I184" i="18"/>
  <c r="BJ181" i="18"/>
  <c r="BF181" i="18"/>
  <c r="BD181" i="18"/>
  <c r="AP181" i="18"/>
  <c r="AX181" i="18" s="1"/>
  <c r="AO181" i="18"/>
  <c r="AL181" i="18"/>
  <c r="AK181" i="18"/>
  <c r="AJ181" i="18"/>
  <c r="AH181" i="18"/>
  <c r="AG181" i="18"/>
  <c r="AF181" i="18"/>
  <c r="AC181" i="18"/>
  <c r="AB181" i="18"/>
  <c r="Z181" i="18"/>
  <c r="J181" i="18"/>
  <c r="I181" i="18"/>
  <c r="BJ179" i="18"/>
  <c r="BI179" i="18"/>
  <c r="AE179" i="18" s="1"/>
  <c r="BH179" i="18"/>
  <c r="AD179" i="18" s="1"/>
  <c r="BF179" i="18"/>
  <c r="BD179" i="18"/>
  <c r="AW179" i="18"/>
  <c r="AP179" i="18"/>
  <c r="AX179" i="18" s="1"/>
  <c r="AO179" i="18"/>
  <c r="AL179" i="18"/>
  <c r="AK179" i="18"/>
  <c r="AJ179" i="18"/>
  <c r="AH179" i="18"/>
  <c r="AG179" i="18"/>
  <c r="AF179" i="18"/>
  <c r="AC179" i="18"/>
  <c r="AB179" i="18"/>
  <c r="Z179" i="18"/>
  <c r="J179" i="18"/>
  <c r="I179" i="18"/>
  <c r="H179" i="18"/>
  <c r="BJ176" i="18"/>
  <c r="BH176" i="18"/>
  <c r="BF176" i="18"/>
  <c r="BD176" i="18"/>
  <c r="AW176" i="18"/>
  <c r="AP176" i="18"/>
  <c r="AO176" i="18"/>
  <c r="AK176" i="18"/>
  <c r="AJ176" i="18"/>
  <c r="AH176" i="18"/>
  <c r="AG176" i="18"/>
  <c r="AF176" i="18"/>
  <c r="AD176" i="18"/>
  <c r="AC176" i="18"/>
  <c r="AB176" i="18"/>
  <c r="Z176" i="18"/>
  <c r="J176" i="18"/>
  <c r="AL176" i="18" s="1"/>
  <c r="H176" i="18"/>
  <c r="BJ173" i="18"/>
  <c r="BF173" i="18"/>
  <c r="BD173" i="18"/>
  <c r="AP173" i="18"/>
  <c r="AO173" i="18"/>
  <c r="AW173" i="18" s="1"/>
  <c r="AK173" i="18"/>
  <c r="AJ173" i="18"/>
  <c r="AH173" i="18"/>
  <c r="AG173" i="18"/>
  <c r="AF173" i="18"/>
  <c r="AC173" i="18"/>
  <c r="AB173" i="18"/>
  <c r="Z173" i="18"/>
  <c r="J173" i="18"/>
  <c r="AL173" i="18" s="1"/>
  <c r="BJ169" i="18"/>
  <c r="BF169" i="18"/>
  <c r="BD169" i="18"/>
  <c r="AX169" i="18"/>
  <c r="AW169" i="18"/>
  <c r="AV169" i="18" s="1"/>
  <c r="AP169" i="18"/>
  <c r="BI169" i="18" s="1"/>
  <c r="AO169" i="18"/>
  <c r="AL169" i="18"/>
  <c r="AK169" i="18"/>
  <c r="AJ169" i="18"/>
  <c r="AH169" i="18"/>
  <c r="AG169" i="18"/>
  <c r="AF169" i="18"/>
  <c r="AE169" i="18"/>
  <c r="AC169" i="18"/>
  <c r="AB169" i="18"/>
  <c r="Z169" i="18"/>
  <c r="J169" i="18"/>
  <c r="I169" i="18"/>
  <c r="BJ166" i="18"/>
  <c r="BF166" i="18"/>
  <c r="BD166" i="18"/>
  <c r="AP166" i="18"/>
  <c r="AO166" i="18"/>
  <c r="AK166" i="18"/>
  <c r="AT165" i="18" s="1"/>
  <c r="AJ166" i="18"/>
  <c r="AH166" i="18"/>
  <c r="AG166" i="18"/>
  <c r="AF166" i="18"/>
  <c r="AC166" i="18"/>
  <c r="AB166" i="18"/>
  <c r="Z166" i="18"/>
  <c r="J166" i="18"/>
  <c r="AS165" i="18"/>
  <c r="BJ162" i="18"/>
  <c r="BH162" i="18"/>
  <c r="BF162" i="18"/>
  <c r="BD162" i="18"/>
  <c r="AX162" i="18"/>
  <c r="AP162" i="18"/>
  <c r="AO162" i="18"/>
  <c r="H162" i="18" s="1"/>
  <c r="AK162" i="18"/>
  <c r="AJ162" i="18"/>
  <c r="AH162" i="18"/>
  <c r="AG162" i="18"/>
  <c r="AF162" i="18"/>
  <c r="AD162" i="18"/>
  <c r="AC162" i="18"/>
  <c r="AB162" i="18"/>
  <c r="Z162" i="18"/>
  <c r="J162" i="18"/>
  <c r="AL162" i="18" s="1"/>
  <c r="AU161" i="18" s="1"/>
  <c r="AT161" i="18"/>
  <c r="AS161" i="18"/>
  <c r="J161" i="18"/>
  <c r="H161" i="18"/>
  <c r="BJ159" i="18"/>
  <c r="BI159" i="18"/>
  <c r="AC159" i="18" s="1"/>
  <c r="BF159" i="18"/>
  <c r="BD159" i="18"/>
  <c r="AP159" i="18"/>
  <c r="AX159" i="18" s="1"/>
  <c r="AO159" i="18"/>
  <c r="AL159" i="18"/>
  <c r="AK159" i="18"/>
  <c r="AJ159" i="18"/>
  <c r="AH159" i="18"/>
  <c r="AG159" i="18"/>
  <c r="AF159" i="18"/>
  <c r="AE159" i="18"/>
  <c r="AD159" i="18"/>
  <c r="Z159" i="18"/>
  <c r="J159" i="18"/>
  <c r="J158" i="18" s="1"/>
  <c r="I159" i="18"/>
  <c r="I158" i="18" s="1"/>
  <c r="H159" i="18"/>
  <c r="H158" i="18" s="1"/>
  <c r="AU158" i="18"/>
  <c r="AT158" i="18"/>
  <c r="AS158" i="18"/>
  <c r="BJ154" i="18"/>
  <c r="BI154" i="18"/>
  <c r="BH154" i="18"/>
  <c r="BF154" i="18"/>
  <c r="BD154" i="18"/>
  <c r="AX154" i="18"/>
  <c r="AW154" i="18"/>
  <c r="BC154" i="18" s="1"/>
  <c r="AV154" i="18"/>
  <c r="AP154" i="18"/>
  <c r="AO154" i="18"/>
  <c r="AL154" i="18"/>
  <c r="AK154" i="18"/>
  <c r="AJ154" i="18"/>
  <c r="AH154" i="18"/>
  <c r="AG154" i="18"/>
  <c r="AF154" i="18"/>
  <c r="AE154" i="18"/>
  <c r="AD154" i="18"/>
  <c r="AC154" i="18"/>
  <c r="AB154" i="18"/>
  <c r="Z154" i="18"/>
  <c r="J154" i="18"/>
  <c r="I154" i="18"/>
  <c r="H154" i="18"/>
  <c r="BJ150" i="18"/>
  <c r="BI150" i="18"/>
  <c r="BH150" i="18"/>
  <c r="AB150" i="18" s="1"/>
  <c r="BF150" i="18"/>
  <c r="BD150" i="18"/>
  <c r="AX150" i="18"/>
  <c r="AW150" i="18"/>
  <c r="AV150" i="18" s="1"/>
  <c r="AP150" i="18"/>
  <c r="AO150" i="18"/>
  <c r="AL150" i="18"/>
  <c r="AK150" i="18"/>
  <c r="AJ150" i="18"/>
  <c r="AS149" i="18" s="1"/>
  <c r="AH150" i="18"/>
  <c r="AG150" i="18"/>
  <c r="AF150" i="18"/>
  <c r="AE150" i="18"/>
  <c r="AD150" i="18"/>
  <c r="AC150" i="18"/>
  <c r="Z150" i="18"/>
  <c r="J150" i="18"/>
  <c r="I150" i="18"/>
  <c r="I149" i="18" s="1"/>
  <c r="H150" i="18"/>
  <c r="AU149" i="18"/>
  <c r="J149" i="18"/>
  <c r="BJ147" i="18"/>
  <c r="BF147" i="18"/>
  <c r="BD147" i="18"/>
  <c r="AW147" i="18"/>
  <c r="AP147" i="18"/>
  <c r="AO147" i="18"/>
  <c r="BH147" i="18" s="1"/>
  <c r="AL147" i="18"/>
  <c r="AU146" i="18" s="1"/>
  <c r="AK147" i="18"/>
  <c r="AT146" i="18" s="1"/>
  <c r="AJ147" i="18"/>
  <c r="AH147" i="18"/>
  <c r="AG147" i="18"/>
  <c r="AF147" i="18"/>
  <c r="AE147" i="18"/>
  <c r="AD147" i="18"/>
  <c r="AB147" i="18"/>
  <c r="Z147" i="18"/>
  <c r="J147" i="18"/>
  <c r="H147" i="18"/>
  <c r="AS146" i="18"/>
  <c r="J146" i="18"/>
  <c r="H146" i="18"/>
  <c r="BJ144" i="18"/>
  <c r="BI144" i="18"/>
  <c r="AG144" i="18" s="1"/>
  <c r="BH144" i="18"/>
  <c r="AF144" i="18" s="1"/>
  <c r="BF144" i="18"/>
  <c r="BD144" i="18"/>
  <c r="AP144" i="18"/>
  <c r="AX144" i="18" s="1"/>
  <c r="AO144" i="18"/>
  <c r="AW144" i="18" s="1"/>
  <c r="AL144" i="18"/>
  <c r="AK144" i="18"/>
  <c r="AT141" i="18" s="1"/>
  <c r="AJ144" i="18"/>
  <c r="AH144" i="18"/>
  <c r="AE144" i="18"/>
  <c r="AD144" i="18"/>
  <c r="AC144" i="18"/>
  <c r="AB144" i="18"/>
  <c r="Z144" i="18"/>
  <c r="J144" i="18"/>
  <c r="H144" i="18"/>
  <c r="BJ142" i="18"/>
  <c r="BH142" i="18"/>
  <c r="BF142" i="18"/>
  <c r="BD142" i="18"/>
  <c r="AP142" i="18"/>
  <c r="AO142" i="18"/>
  <c r="AW142" i="18" s="1"/>
  <c r="AK142" i="18"/>
  <c r="AJ142" i="18"/>
  <c r="AH142" i="18"/>
  <c r="AG142" i="18"/>
  <c r="AF142" i="18"/>
  <c r="AE142" i="18"/>
  <c r="AD142" i="18"/>
  <c r="AB142" i="18"/>
  <c r="Z142" i="18"/>
  <c r="J142" i="18"/>
  <c r="AL142" i="18" s="1"/>
  <c r="AU141" i="18" s="1"/>
  <c r="H142" i="18"/>
  <c r="AS141" i="18"/>
  <c r="J141" i="18"/>
  <c r="BJ139" i="18"/>
  <c r="BI139" i="18"/>
  <c r="AC139" i="18" s="1"/>
  <c r="BH139" i="18"/>
  <c r="AB139" i="18" s="1"/>
  <c r="BF139" i="18"/>
  <c r="BD139" i="18"/>
  <c r="AW139" i="18"/>
  <c r="AP139" i="18"/>
  <c r="I139" i="18" s="1"/>
  <c r="AO139" i="18"/>
  <c r="AK139" i="18"/>
  <c r="AJ139" i="18"/>
  <c r="AH139" i="18"/>
  <c r="AG139" i="18"/>
  <c r="AF139" i="18"/>
  <c r="AE139" i="18"/>
  <c r="AD139" i="18"/>
  <c r="Z139" i="18"/>
  <c r="J139" i="18"/>
  <c r="AL139" i="18" s="1"/>
  <c r="H139" i="18"/>
  <c r="BJ137" i="18"/>
  <c r="BI137" i="18"/>
  <c r="AC137" i="18" s="1"/>
  <c r="BH137" i="18"/>
  <c r="AB137" i="18" s="1"/>
  <c r="BF137" i="18"/>
  <c r="BD137" i="18"/>
  <c r="AX137" i="18"/>
  <c r="AV137" i="18" s="1"/>
  <c r="AW137" i="18"/>
  <c r="AP137" i="18"/>
  <c r="AO137" i="18"/>
  <c r="AL137" i="18"/>
  <c r="AK137" i="18"/>
  <c r="AJ137" i="18"/>
  <c r="AS136" i="18" s="1"/>
  <c r="AH137" i="18"/>
  <c r="AG137" i="18"/>
  <c r="AF137" i="18"/>
  <c r="AE137" i="18"/>
  <c r="AD137" i="18"/>
  <c r="Z137" i="18"/>
  <c r="J137" i="18"/>
  <c r="I137" i="18"/>
  <c r="H137" i="18"/>
  <c r="AU136" i="18"/>
  <c r="AT136" i="18"/>
  <c r="J136" i="18"/>
  <c r="I136" i="18"/>
  <c r="H136" i="18"/>
  <c r="BJ134" i="18"/>
  <c r="BF134" i="18"/>
  <c r="BD134" i="18"/>
  <c r="AP134" i="18"/>
  <c r="BI134" i="18" s="1"/>
  <c r="AC134" i="18" s="1"/>
  <c r="AO134" i="18"/>
  <c r="BH134" i="18" s="1"/>
  <c r="AB134" i="18" s="1"/>
  <c r="AL134" i="18"/>
  <c r="AK134" i="18"/>
  <c r="AJ134" i="18"/>
  <c r="AH134" i="18"/>
  <c r="AG134" i="18"/>
  <c r="AF134" i="18"/>
  <c r="AE134" i="18"/>
  <c r="AD134" i="18"/>
  <c r="Z134" i="18"/>
  <c r="J134" i="18"/>
  <c r="I134" i="18"/>
  <c r="H134" i="18"/>
  <c r="BJ132" i="18"/>
  <c r="BF132" i="18"/>
  <c r="BD132" i="18"/>
  <c r="AX132" i="18"/>
  <c r="AW132" i="18"/>
  <c r="AP132" i="18"/>
  <c r="BI132" i="18" s="1"/>
  <c r="AO132" i="18"/>
  <c r="BH132" i="18" s="1"/>
  <c r="AB132" i="18" s="1"/>
  <c r="AL132" i="18"/>
  <c r="AK132" i="18"/>
  <c r="AT127" i="18" s="1"/>
  <c r="AJ132" i="18"/>
  <c r="AH132" i="18"/>
  <c r="AG132" i="18"/>
  <c r="AF132" i="18"/>
  <c r="AE132" i="18"/>
  <c r="AD132" i="18"/>
  <c r="AC132" i="18"/>
  <c r="Z132" i="18"/>
  <c r="J132" i="18"/>
  <c r="I132" i="18"/>
  <c r="H132" i="18"/>
  <c r="BJ130" i="18"/>
  <c r="BF130" i="18"/>
  <c r="BD130" i="18"/>
  <c r="AW130" i="18"/>
  <c r="AP130" i="18"/>
  <c r="AO130" i="18"/>
  <c r="AK130" i="18"/>
  <c r="AJ130" i="18"/>
  <c r="AH130" i="18"/>
  <c r="AG130" i="18"/>
  <c r="AF130" i="18"/>
  <c r="AE130" i="18"/>
  <c r="AD130" i="18"/>
  <c r="Z130" i="18"/>
  <c r="J130" i="18"/>
  <c r="AL130" i="18" s="1"/>
  <c r="BJ128" i="18"/>
  <c r="BF128" i="18"/>
  <c r="BD128" i="18"/>
  <c r="AP128" i="18"/>
  <c r="AO128" i="18"/>
  <c r="AL128" i="18"/>
  <c r="AU127" i="18" s="1"/>
  <c r="AK128" i="18"/>
  <c r="AJ128" i="18"/>
  <c r="AS127" i="18" s="1"/>
  <c r="AH128" i="18"/>
  <c r="AG128" i="18"/>
  <c r="AF128" i="18"/>
  <c r="AE128" i="18"/>
  <c r="AD128" i="18"/>
  <c r="Z128" i="18"/>
  <c r="J128" i="18"/>
  <c r="J127" i="18" s="1"/>
  <c r="H128" i="18"/>
  <c r="BJ125" i="18"/>
  <c r="BI125" i="18"/>
  <c r="BH125" i="18"/>
  <c r="AB125" i="18" s="1"/>
  <c r="BF125" i="18"/>
  <c r="BD125" i="18"/>
  <c r="AX125" i="18"/>
  <c r="AW125" i="18"/>
  <c r="AP125" i="18"/>
  <c r="I125" i="18" s="1"/>
  <c r="I124" i="18" s="1"/>
  <c r="AO125" i="18"/>
  <c r="AL125" i="18"/>
  <c r="AK125" i="18"/>
  <c r="AJ125" i="18"/>
  <c r="AH125" i="18"/>
  <c r="AG125" i="18"/>
  <c r="AF125" i="18"/>
  <c r="AE125" i="18"/>
  <c r="AD125" i="18"/>
  <c r="AC125" i="18"/>
  <c r="Z125" i="18"/>
  <c r="J125" i="18"/>
  <c r="H125" i="18"/>
  <c r="H124" i="18" s="1"/>
  <c r="AU124" i="18"/>
  <c r="AT124" i="18"/>
  <c r="AS124" i="18"/>
  <c r="J124" i="18"/>
  <c r="BJ105" i="18"/>
  <c r="BF105" i="18"/>
  <c r="BD105" i="18"/>
  <c r="AX105" i="18"/>
  <c r="BC105" i="18" s="1"/>
  <c r="AW105" i="18"/>
  <c r="AP105" i="18"/>
  <c r="BI105" i="18" s="1"/>
  <c r="AO105" i="18"/>
  <c r="BH105" i="18" s="1"/>
  <c r="AB105" i="18" s="1"/>
  <c r="AL105" i="18"/>
  <c r="AU104" i="18" s="1"/>
  <c r="AK105" i="18"/>
  <c r="AT104" i="18" s="1"/>
  <c r="AJ105" i="18"/>
  <c r="AH105" i="18"/>
  <c r="AG105" i="18"/>
  <c r="AF105" i="18"/>
  <c r="AE105" i="18"/>
  <c r="AD105" i="18"/>
  <c r="AC105" i="18"/>
  <c r="Z105" i="18"/>
  <c r="J105" i="18"/>
  <c r="J104" i="18" s="1"/>
  <c r="H105" i="18"/>
  <c r="AS104" i="18"/>
  <c r="H104" i="18"/>
  <c r="BJ102" i="18"/>
  <c r="BI102" i="18"/>
  <c r="AC102" i="18" s="1"/>
  <c r="BH102" i="18"/>
  <c r="AB102" i="18" s="1"/>
  <c r="BF102" i="18"/>
  <c r="BD102" i="18"/>
  <c r="BC102" i="18"/>
  <c r="AP102" i="18"/>
  <c r="AX102" i="18" s="1"/>
  <c r="AO102" i="18"/>
  <c r="AW102" i="18" s="1"/>
  <c r="AV102" i="18" s="1"/>
  <c r="AL102" i="18"/>
  <c r="AK102" i="18"/>
  <c r="AJ102" i="18"/>
  <c r="AH102" i="18"/>
  <c r="AG102" i="18"/>
  <c r="AF102" i="18"/>
  <c r="AE102" i="18"/>
  <c r="AD102" i="18"/>
  <c r="Z102" i="18"/>
  <c r="J102" i="18"/>
  <c r="I102" i="18"/>
  <c r="H102" i="18"/>
  <c r="BJ100" i="18"/>
  <c r="BF100" i="18"/>
  <c r="BD100" i="18"/>
  <c r="AP100" i="18"/>
  <c r="I100" i="18" s="1"/>
  <c r="AO100" i="18"/>
  <c r="AL100" i="18"/>
  <c r="AK100" i="18"/>
  <c r="AJ100" i="18"/>
  <c r="AH100" i="18"/>
  <c r="AG100" i="18"/>
  <c r="AF100" i="18"/>
  <c r="AE100" i="18"/>
  <c r="AD100" i="18"/>
  <c r="Z100" i="18"/>
  <c r="J100" i="18"/>
  <c r="H100" i="18"/>
  <c r="BJ98" i="18"/>
  <c r="BF98" i="18"/>
  <c r="BD98" i="18"/>
  <c r="AP98" i="18"/>
  <c r="AX98" i="18" s="1"/>
  <c r="AO98" i="18"/>
  <c r="AW98" i="18" s="1"/>
  <c r="BC98" i="18" s="1"/>
  <c r="AL98" i="18"/>
  <c r="AK98" i="18"/>
  <c r="AJ98" i="18"/>
  <c r="AH98" i="18"/>
  <c r="AG98" i="18"/>
  <c r="AF98" i="18"/>
  <c r="AE98" i="18"/>
  <c r="AD98" i="18"/>
  <c r="Z98" i="18"/>
  <c r="J98" i="18"/>
  <c r="I98" i="18"/>
  <c r="H98" i="18"/>
  <c r="H83" i="18" s="1"/>
  <c r="BJ94" i="18"/>
  <c r="BI94" i="18"/>
  <c r="AC94" i="18" s="1"/>
  <c r="BH94" i="18"/>
  <c r="AB94" i="18" s="1"/>
  <c r="BF94" i="18"/>
  <c r="BD94" i="18"/>
  <c r="AP94" i="18"/>
  <c r="AX94" i="18" s="1"/>
  <c r="AO94" i="18"/>
  <c r="AW94" i="18" s="1"/>
  <c r="AL94" i="18"/>
  <c r="AK94" i="18"/>
  <c r="AJ94" i="18"/>
  <c r="AH94" i="18"/>
  <c r="AG94" i="18"/>
  <c r="AF94" i="18"/>
  <c r="AE94" i="18"/>
  <c r="AD94" i="18"/>
  <c r="Z94" i="18"/>
  <c r="J94" i="18"/>
  <c r="I94" i="18"/>
  <c r="H94" i="18"/>
  <c r="BJ90" i="18"/>
  <c r="BI90" i="18"/>
  <c r="AC90" i="18" s="1"/>
  <c r="BF90" i="18"/>
  <c r="BD90" i="18"/>
  <c r="AX90" i="18"/>
  <c r="AP90" i="18"/>
  <c r="AO90" i="18"/>
  <c r="BH90" i="18" s="1"/>
  <c r="AL90" i="18"/>
  <c r="AK90" i="18"/>
  <c r="AJ90" i="18"/>
  <c r="AH90" i="18"/>
  <c r="AG90" i="18"/>
  <c r="AF90" i="18"/>
  <c r="AE90" i="18"/>
  <c r="AD90" i="18"/>
  <c r="AB90" i="18"/>
  <c r="Z90" i="18"/>
  <c r="J90" i="18"/>
  <c r="I90" i="18"/>
  <c r="H90" i="18"/>
  <c r="BJ84" i="18"/>
  <c r="BF84" i="18"/>
  <c r="BD84" i="18"/>
  <c r="AX84" i="18"/>
  <c r="AW84" i="18"/>
  <c r="AV84" i="18" s="1"/>
  <c r="AP84" i="18"/>
  <c r="BI84" i="18" s="1"/>
  <c r="AO84" i="18"/>
  <c r="BH84" i="18" s="1"/>
  <c r="AB84" i="18" s="1"/>
  <c r="AL84" i="18"/>
  <c r="AK84" i="18"/>
  <c r="AJ84" i="18"/>
  <c r="AH84" i="18"/>
  <c r="AG84" i="18"/>
  <c r="AF84" i="18"/>
  <c r="AE84" i="18"/>
  <c r="AD84" i="18"/>
  <c r="AC84" i="18"/>
  <c r="Z84" i="18"/>
  <c r="J84" i="18"/>
  <c r="H84" i="18"/>
  <c r="BJ81" i="18"/>
  <c r="BI81" i="18"/>
  <c r="AC81" i="18" s="1"/>
  <c r="BH81" i="18"/>
  <c r="AB81" i="18" s="1"/>
  <c r="BF81" i="18"/>
  <c r="BD81" i="18"/>
  <c r="AP81" i="18"/>
  <c r="AX81" i="18" s="1"/>
  <c r="AO81" i="18"/>
  <c r="AW81" i="18" s="1"/>
  <c r="AL81" i="18"/>
  <c r="AK81" i="18"/>
  <c r="AJ81" i="18"/>
  <c r="AH81" i="18"/>
  <c r="AG81" i="18"/>
  <c r="AF81" i="18"/>
  <c r="AE81" i="18"/>
  <c r="AD81" i="18"/>
  <c r="Z81" i="18"/>
  <c r="J81" i="18"/>
  <c r="I81" i="18"/>
  <c r="H81" i="18"/>
  <c r="BJ79" i="18"/>
  <c r="BF79" i="18"/>
  <c r="BD79" i="18"/>
  <c r="AP79" i="18"/>
  <c r="AO79" i="18"/>
  <c r="AL79" i="18"/>
  <c r="AK79" i="18"/>
  <c r="AJ79" i="18"/>
  <c r="AH79" i="18"/>
  <c r="AG79" i="18"/>
  <c r="AF79" i="18"/>
  <c r="AE79" i="18"/>
  <c r="AD79" i="18"/>
  <c r="Z79" i="18"/>
  <c r="J79" i="18"/>
  <c r="BJ75" i="18"/>
  <c r="BI75" i="18"/>
  <c r="AC75" i="18" s="1"/>
  <c r="BF75" i="18"/>
  <c r="BD75" i="18"/>
  <c r="AP75" i="18"/>
  <c r="AX75" i="18" s="1"/>
  <c r="AO75" i="18"/>
  <c r="AW75" i="18" s="1"/>
  <c r="BC75" i="18" s="1"/>
  <c r="AL75" i="18"/>
  <c r="AK75" i="18"/>
  <c r="AJ75" i="18"/>
  <c r="AH75" i="18"/>
  <c r="AG75" i="18"/>
  <c r="AF75" i="18"/>
  <c r="AE75" i="18"/>
  <c r="AD75" i="18"/>
  <c r="Z75" i="18"/>
  <c r="J75" i="18"/>
  <c r="I75" i="18"/>
  <c r="H75" i="18"/>
  <c r="BJ73" i="18"/>
  <c r="BI73" i="18"/>
  <c r="AC73" i="18" s="1"/>
  <c r="BH73" i="18"/>
  <c r="AB73" i="18" s="1"/>
  <c r="BF73" i="18"/>
  <c r="BD73" i="18"/>
  <c r="AP73" i="18"/>
  <c r="AX73" i="18" s="1"/>
  <c r="AO73" i="18"/>
  <c r="AW73" i="18" s="1"/>
  <c r="AL73" i="18"/>
  <c r="AK73" i="18"/>
  <c r="AJ73" i="18"/>
  <c r="AH73" i="18"/>
  <c r="AG73" i="18"/>
  <c r="AF73" i="18"/>
  <c r="AE73" i="18"/>
  <c r="AD73" i="18"/>
  <c r="Z73" i="18"/>
  <c r="J73" i="18"/>
  <c r="I73" i="18"/>
  <c r="H73" i="18"/>
  <c r="BJ70" i="18"/>
  <c r="BI70" i="18"/>
  <c r="BF70" i="18"/>
  <c r="BD70" i="18"/>
  <c r="AX70" i="18"/>
  <c r="AW70" i="18"/>
  <c r="AP70" i="18"/>
  <c r="I70" i="18" s="1"/>
  <c r="AO70" i="18"/>
  <c r="BH70" i="18" s="1"/>
  <c r="AB70" i="18" s="1"/>
  <c r="AL70" i="18"/>
  <c r="AK70" i="18"/>
  <c r="AJ70" i="18"/>
  <c r="AH70" i="18"/>
  <c r="AG70" i="18"/>
  <c r="AF70" i="18"/>
  <c r="AE70" i="18"/>
  <c r="AD70" i="18"/>
  <c r="AC70" i="18"/>
  <c r="Z70" i="18"/>
  <c r="J70" i="18"/>
  <c r="H70" i="18"/>
  <c r="BJ68" i="18"/>
  <c r="BF68" i="18"/>
  <c r="BD68" i="18"/>
  <c r="AX68" i="18"/>
  <c r="AV68" i="18" s="1"/>
  <c r="AW68" i="18"/>
  <c r="AP68" i="18"/>
  <c r="BI68" i="18" s="1"/>
  <c r="AO68" i="18"/>
  <c r="BH68" i="18" s="1"/>
  <c r="AK68" i="18"/>
  <c r="AJ68" i="18"/>
  <c r="AH68" i="18"/>
  <c r="AG68" i="18"/>
  <c r="AF68" i="18"/>
  <c r="AE68" i="18"/>
  <c r="AD68" i="18"/>
  <c r="AC68" i="18"/>
  <c r="AB68" i="18"/>
  <c r="Z68" i="18"/>
  <c r="J68" i="18"/>
  <c r="AL68" i="18" s="1"/>
  <c r="I68" i="18"/>
  <c r="BJ65" i="18"/>
  <c r="BI65" i="18"/>
  <c r="BF65" i="18"/>
  <c r="BD65" i="18"/>
  <c r="AX65" i="18"/>
  <c r="AW65" i="18"/>
  <c r="BC65" i="18" s="1"/>
  <c r="AV65" i="18"/>
  <c r="AP65" i="18"/>
  <c r="AO65" i="18"/>
  <c r="AK65" i="18"/>
  <c r="AJ65" i="18"/>
  <c r="AH65" i="18"/>
  <c r="AG65" i="18"/>
  <c r="AF65" i="18"/>
  <c r="AE65" i="18"/>
  <c r="AD65" i="18"/>
  <c r="AC65" i="18"/>
  <c r="Z65" i="18"/>
  <c r="J65" i="18"/>
  <c r="AL65" i="18" s="1"/>
  <c r="I65" i="18"/>
  <c r="BJ62" i="18"/>
  <c r="BF62" i="18"/>
  <c r="BD62" i="18"/>
  <c r="AP62" i="18"/>
  <c r="AO62" i="18"/>
  <c r="BH62" i="18" s="1"/>
  <c r="AB62" i="18" s="1"/>
  <c r="AK62" i="18"/>
  <c r="AJ62" i="18"/>
  <c r="AH62" i="18"/>
  <c r="AG62" i="18"/>
  <c r="AF62" i="18"/>
  <c r="AE62" i="18"/>
  <c r="AD62" i="18"/>
  <c r="Z62" i="18"/>
  <c r="J62" i="18"/>
  <c r="BJ59" i="18"/>
  <c r="BH59" i="18"/>
  <c r="BF59" i="18"/>
  <c r="BD59" i="18"/>
  <c r="AW59" i="18"/>
  <c r="AP59" i="18"/>
  <c r="AO59" i="18"/>
  <c r="AL59" i="18"/>
  <c r="AK59" i="18"/>
  <c r="AJ59" i="18"/>
  <c r="AH59" i="18"/>
  <c r="AG59" i="18"/>
  <c r="AF59" i="18"/>
  <c r="AE59" i="18"/>
  <c r="AD59" i="18"/>
  <c r="AB59" i="18"/>
  <c r="Z59" i="18"/>
  <c r="J59" i="18"/>
  <c r="I59" i="18"/>
  <c r="H59" i="18"/>
  <c r="BJ56" i="18"/>
  <c r="BI56" i="18"/>
  <c r="BH56" i="18"/>
  <c r="BF56" i="18"/>
  <c r="BD56" i="18"/>
  <c r="AW56" i="18"/>
  <c r="BC56" i="18" s="1"/>
  <c r="AV56" i="18"/>
  <c r="AP56" i="18"/>
  <c r="AX56" i="18" s="1"/>
  <c r="AO56" i="18"/>
  <c r="H56" i="18" s="1"/>
  <c r="AK56" i="18"/>
  <c r="AJ56" i="18"/>
  <c r="AH56" i="18"/>
  <c r="AG56" i="18"/>
  <c r="AF56" i="18"/>
  <c r="AE56" i="18"/>
  <c r="AD56" i="18"/>
  <c r="AC56" i="18"/>
  <c r="AB56" i="18"/>
  <c r="Z56" i="18"/>
  <c r="J56" i="18"/>
  <c r="AL56" i="18" s="1"/>
  <c r="I56" i="18"/>
  <c r="BJ54" i="18"/>
  <c r="BF54" i="18"/>
  <c r="BD54" i="18"/>
  <c r="AW54" i="18"/>
  <c r="AP54" i="18"/>
  <c r="AO54" i="18"/>
  <c r="BH54" i="18" s="1"/>
  <c r="AL54" i="18"/>
  <c r="AK54" i="18"/>
  <c r="AJ54" i="18"/>
  <c r="AH54" i="18"/>
  <c r="AG54" i="18"/>
  <c r="AF54" i="18"/>
  <c r="AE54" i="18"/>
  <c r="AD54" i="18"/>
  <c r="AB54" i="18"/>
  <c r="Z54" i="18"/>
  <c r="J54" i="18"/>
  <c r="H54" i="18"/>
  <c r="BJ52" i="18"/>
  <c r="BH52" i="18"/>
  <c r="BF52" i="18"/>
  <c r="BD52" i="18"/>
  <c r="AW52" i="18"/>
  <c r="AP52" i="18"/>
  <c r="AX52" i="18" s="1"/>
  <c r="AV52" i="18" s="1"/>
  <c r="AO52" i="18"/>
  <c r="AL52" i="18"/>
  <c r="AK52" i="18"/>
  <c r="AJ52" i="18"/>
  <c r="AH52" i="18"/>
  <c r="AG52" i="18"/>
  <c r="AF52" i="18"/>
  <c r="AE52" i="18"/>
  <c r="AD52" i="18"/>
  <c r="AB52" i="18"/>
  <c r="Z52" i="18"/>
  <c r="J52" i="18"/>
  <c r="H52" i="18"/>
  <c r="BJ50" i="18"/>
  <c r="BF50" i="18"/>
  <c r="BD50" i="18"/>
  <c r="AX50" i="18"/>
  <c r="AV50" i="18" s="1"/>
  <c r="AW50" i="18"/>
  <c r="AP50" i="18"/>
  <c r="AO50" i="18"/>
  <c r="AL50" i="18"/>
  <c r="AK50" i="18"/>
  <c r="AJ50" i="18"/>
  <c r="AH50" i="18"/>
  <c r="AG50" i="18"/>
  <c r="AF50" i="18"/>
  <c r="AE50" i="18"/>
  <c r="AD50" i="18"/>
  <c r="Z50" i="18"/>
  <c r="J50" i="18"/>
  <c r="BJ48" i="18"/>
  <c r="BF48" i="18"/>
  <c r="BD48" i="18"/>
  <c r="AP48" i="18"/>
  <c r="AO48" i="18"/>
  <c r="AK48" i="18"/>
  <c r="AJ48" i="18"/>
  <c r="AH48" i="18"/>
  <c r="AG48" i="18"/>
  <c r="AF48" i="18"/>
  <c r="AE48" i="18"/>
  <c r="AD48" i="18"/>
  <c r="Z48" i="18"/>
  <c r="J48" i="18"/>
  <c r="AL48" i="18" s="1"/>
  <c r="BJ46" i="18"/>
  <c r="BH46" i="18"/>
  <c r="BF46" i="18"/>
  <c r="BD46" i="18"/>
  <c r="AW46" i="18"/>
  <c r="AP46" i="18"/>
  <c r="BI46" i="18" s="1"/>
  <c r="AC46" i="18" s="1"/>
  <c r="AO46" i="18"/>
  <c r="AL46" i="18"/>
  <c r="AK46" i="18"/>
  <c r="AJ46" i="18"/>
  <c r="AH46" i="18"/>
  <c r="AG46" i="18"/>
  <c r="AF46" i="18"/>
  <c r="AE46" i="18"/>
  <c r="AD46" i="18"/>
  <c r="AB46" i="18"/>
  <c r="Z46" i="18"/>
  <c r="J46" i="18"/>
  <c r="I46" i="18"/>
  <c r="H46" i="18"/>
  <c r="BJ44" i="18"/>
  <c r="BI44" i="18"/>
  <c r="BF44" i="18"/>
  <c r="BD44" i="18"/>
  <c r="AX44" i="18"/>
  <c r="AP44" i="18"/>
  <c r="AO44" i="18"/>
  <c r="H44" i="18" s="1"/>
  <c r="AK44" i="18"/>
  <c r="AT43" i="18" s="1"/>
  <c r="AJ44" i="18"/>
  <c r="AS43" i="18" s="1"/>
  <c r="AH44" i="18"/>
  <c r="AG44" i="18"/>
  <c r="AF44" i="18"/>
  <c r="AE44" i="18"/>
  <c r="AD44" i="18"/>
  <c r="AC44" i="18"/>
  <c r="Z44" i="18"/>
  <c r="J44" i="18"/>
  <c r="I44" i="18"/>
  <c r="BJ39" i="18"/>
  <c r="BI39" i="18"/>
  <c r="BF39" i="18"/>
  <c r="BD39" i="18"/>
  <c r="AX39" i="18"/>
  <c r="AW39" i="18"/>
  <c r="AV39" i="18" s="1"/>
  <c r="AP39" i="18"/>
  <c r="I39" i="18" s="1"/>
  <c r="AO39" i="18"/>
  <c r="BH39" i="18" s="1"/>
  <c r="AB39" i="18" s="1"/>
  <c r="AL39" i="18"/>
  <c r="AK39" i="18"/>
  <c r="AJ39" i="18"/>
  <c r="AH39" i="18"/>
  <c r="AG39" i="18"/>
  <c r="AF39" i="18"/>
  <c r="AE39" i="18"/>
  <c r="AD39" i="18"/>
  <c r="AC39" i="18"/>
  <c r="Z39" i="18"/>
  <c r="J39" i="18"/>
  <c r="H39" i="18"/>
  <c r="BJ37" i="18"/>
  <c r="BH37" i="18"/>
  <c r="AB37" i="18" s="1"/>
  <c r="BF37" i="18"/>
  <c r="BD37" i="18"/>
  <c r="AX37" i="18"/>
  <c r="AW37" i="18"/>
  <c r="AV37" i="18" s="1"/>
  <c r="AP37" i="18"/>
  <c r="BI37" i="18" s="1"/>
  <c r="AO37" i="18"/>
  <c r="AL37" i="18"/>
  <c r="AK37" i="18"/>
  <c r="AJ37" i="18"/>
  <c r="AH37" i="18"/>
  <c r="AG37" i="18"/>
  <c r="AF37" i="18"/>
  <c r="AE37" i="18"/>
  <c r="AD37" i="18"/>
  <c r="AC37" i="18"/>
  <c r="Z37" i="18"/>
  <c r="J37" i="18"/>
  <c r="H37" i="18"/>
  <c r="BJ35" i="18"/>
  <c r="BI35" i="18"/>
  <c r="BF35" i="18"/>
  <c r="BD35" i="18"/>
  <c r="AX35" i="18"/>
  <c r="BC35" i="18" s="1"/>
  <c r="AW35" i="18"/>
  <c r="AP35" i="18"/>
  <c r="I35" i="18" s="1"/>
  <c r="AO35" i="18"/>
  <c r="AL35" i="18"/>
  <c r="AK35" i="18"/>
  <c r="AJ35" i="18"/>
  <c r="AH35" i="18"/>
  <c r="AG35" i="18"/>
  <c r="AF35" i="18"/>
  <c r="AE35" i="18"/>
  <c r="AD35" i="18"/>
  <c r="AC35" i="18"/>
  <c r="Z35" i="18"/>
  <c r="J35" i="18"/>
  <c r="BJ33" i="18"/>
  <c r="BH33" i="18"/>
  <c r="BF33" i="18"/>
  <c r="BD33" i="18"/>
  <c r="AX33" i="18"/>
  <c r="AW33" i="18"/>
  <c r="BC33" i="18" s="1"/>
  <c r="AV33" i="18"/>
  <c r="AP33" i="18"/>
  <c r="BI33" i="18" s="1"/>
  <c r="AO33" i="18"/>
  <c r="H33" i="18" s="1"/>
  <c r="AK33" i="18"/>
  <c r="AJ33" i="18"/>
  <c r="AH33" i="18"/>
  <c r="AG33" i="18"/>
  <c r="AF33" i="18"/>
  <c r="AE33" i="18"/>
  <c r="AD33" i="18"/>
  <c r="AC33" i="18"/>
  <c r="AB33" i="18"/>
  <c r="Z33" i="18"/>
  <c r="J33" i="18"/>
  <c r="AL33" i="18" s="1"/>
  <c r="I33" i="18"/>
  <c r="BJ31" i="18"/>
  <c r="BI31" i="18"/>
  <c r="BH31" i="18"/>
  <c r="BF31" i="18"/>
  <c r="BD31" i="18"/>
  <c r="AX31" i="18"/>
  <c r="AW31" i="18"/>
  <c r="BC31" i="18" s="1"/>
  <c r="AV31" i="18"/>
  <c r="AP31" i="18"/>
  <c r="AO31" i="18"/>
  <c r="H31" i="18" s="1"/>
  <c r="AK31" i="18"/>
  <c r="AJ31" i="18"/>
  <c r="AH31" i="18"/>
  <c r="AG31" i="18"/>
  <c r="AF31" i="18"/>
  <c r="AE31" i="18"/>
  <c r="AD31" i="18"/>
  <c r="AC31" i="18"/>
  <c r="AB31" i="18"/>
  <c r="Z31" i="18"/>
  <c r="J31" i="18"/>
  <c r="AL31" i="18" s="1"/>
  <c r="AU26" i="18" s="1"/>
  <c r="I31" i="18"/>
  <c r="BJ29" i="18"/>
  <c r="BI29" i="18"/>
  <c r="BH29" i="18"/>
  <c r="AB29" i="18" s="1"/>
  <c r="BF29" i="18"/>
  <c r="BD29" i="18"/>
  <c r="AX29" i="18"/>
  <c r="AW29" i="18"/>
  <c r="AV29" i="18" s="1"/>
  <c r="AP29" i="18"/>
  <c r="I29" i="18" s="1"/>
  <c r="AO29" i="18"/>
  <c r="AL29" i="18"/>
  <c r="AK29" i="18"/>
  <c r="AJ29" i="18"/>
  <c r="AH29" i="18"/>
  <c r="AG29" i="18"/>
  <c r="AF29" i="18"/>
  <c r="AE29" i="18"/>
  <c r="AD29" i="18"/>
  <c r="AC29" i="18"/>
  <c r="Z29" i="18"/>
  <c r="J29" i="18"/>
  <c r="H29" i="18"/>
  <c r="BJ27" i="18"/>
  <c r="BI27" i="18"/>
  <c r="AC27" i="18" s="1"/>
  <c r="BH27" i="18"/>
  <c r="AB27" i="18" s="1"/>
  <c r="BF27" i="18"/>
  <c r="BD27" i="18"/>
  <c r="AX27" i="18"/>
  <c r="AP27" i="18"/>
  <c r="AO27" i="18"/>
  <c r="AW27" i="18" s="1"/>
  <c r="AV27" i="18" s="1"/>
  <c r="AL27" i="18"/>
  <c r="AK27" i="18"/>
  <c r="AJ27" i="18"/>
  <c r="AH27" i="18"/>
  <c r="AG27" i="18"/>
  <c r="AF27" i="18"/>
  <c r="AE27" i="18"/>
  <c r="AD27" i="18"/>
  <c r="Z27" i="18"/>
  <c r="J27" i="18"/>
  <c r="I27" i="18"/>
  <c r="H27" i="18"/>
  <c r="AT26" i="18"/>
  <c r="AS26" i="18"/>
  <c r="J26" i="18"/>
  <c r="BJ24" i="18"/>
  <c r="BF24" i="18"/>
  <c r="BD24" i="18"/>
  <c r="AP24" i="18"/>
  <c r="AO24" i="18"/>
  <c r="AL24" i="18"/>
  <c r="AK24" i="18"/>
  <c r="AJ24" i="18"/>
  <c r="AH24" i="18"/>
  <c r="AG24" i="18"/>
  <c r="AF24" i="18"/>
  <c r="AE24" i="18"/>
  <c r="AD24" i="18"/>
  <c r="Z24" i="18"/>
  <c r="J24" i="18"/>
  <c r="I24" i="18"/>
  <c r="BJ22" i="18"/>
  <c r="BF22" i="18"/>
  <c r="BD22" i="18"/>
  <c r="AP22" i="18"/>
  <c r="AO22" i="18"/>
  <c r="AK22" i="18"/>
  <c r="AJ22" i="18"/>
  <c r="AH22" i="18"/>
  <c r="AG22" i="18"/>
  <c r="AF22" i="18"/>
  <c r="AE22" i="18"/>
  <c r="AD22" i="18"/>
  <c r="Z22" i="18"/>
  <c r="J22" i="18"/>
  <c r="AL22" i="18" s="1"/>
  <c r="BJ20" i="18"/>
  <c r="BH20" i="18"/>
  <c r="BF20" i="18"/>
  <c r="BD20" i="18"/>
  <c r="AW20" i="18"/>
  <c r="AP20" i="18"/>
  <c r="AO20" i="18"/>
  <c r="AL20" i="18"/>
  <c r="AK20" i="18"/>
  <c r="AJ20" i="18"/>
  <c r="AH20" i="18"/>
  <c r="AG20" i="18"/>
  <c r="AF20" i="18"/>
  <c r="AE20" i="18"/>
  <c r="AD20" i="18"/>
  <c r="AB20" i="18"/>
  <c r="Z20" i="18"/>
  <c r="J20" i="18"/>
  <c r="H20" i="18"/>
  <c r="BJ18" i="18"/>
  <c r="BI18" i="18"/>
  <c r="BH18" i="18"/>
  <c r="BF18" i="18"/>
  <c r="BD18" i="18"/>
  <c r="AX18" i="18"/>
  <c r="AW18" i="18"/>
  <c r="BC18" i="18" s="1"/>
  <c r="AV18" i="18"/>
  <c r="AP18" i="18"/>
  <c r="AO18" i="18"/>
  <c r="H18" i="18" s="1"/>
  <c r="AK18" i="18"/>
  <c r="AJ18" i="18"/>
  <c r="AH18" i="18"/>
  <c r="AG18" i="18"/>
  <c r="AF18" i="18"/>
  <c r="AE18" i="18"/>
  <c r="AD18" i="18"/>
  <c r="AC18" i="18"/>
  <c r="AB18" i="18"/>
  <c r="Z18" i="18"/>
  <c r="J18" i="18"/>
  <c r="AL18" i="18" s="1"/>
  <c r="I18" i="18"/>
  <c r="AT17" i="18"/>
  <c r="AS17" i="18"/>
  <c r="J17" i="18"/>
  <c r="BJ15" i="18"/>
  <c r="BF15" i="18"/>
  <c r="BD15" i="18"/>
  <c r="AP15" i="18"/>
  <c r="AX15" i="18" s="1"/>
  <c r="AO15" i="18"/>
  <c r="AL15" i="18"/>
  <c r="AK15" i="18"/>
  <c r="AJ15" i="18"/>
  <c r="AS12" i="18" s="1"/>
  <c r="AH15" i="18"/>
  <c r="AG15" i="18"/>
  <c r="AF15" i="18"/>
  <c r="AE15" i="18"/>
  <c r="AD15" i="18"/>
  <c r="Z15" i="18"/>
  <c r="J15" i="18"/>
  <c r="I15" i="18"/>
  <c r="H15" i="18"/>
  <c r="BJ13" i="18"/>
  <c r="BF13" i="18"/>
  <c r="BD13" i="18"/>
  <c r="AP13" i="18"/>
  <c r="AO13" i="18"/>
  <c r="AK13" i="18"/>
  <c r="AJ13" i="18"/>
  <c r="AH13" i="18"/>
  <c r="AG13" i="18"/>
  <c r="AF13" i="18"/>
  <c r="AE13" i="18"/>
  <c r="AD13" i="18"/>
  <c r="Z13" i="18"/>
  <c r="J13" i="18"/>
  <c r="J12" i="18" s="1"/>
  <c r="H13" i="18"/>
  <c r="AU1" i="18"/>
  <c r="AT1" i="18"/>
  <c r="AS1" i="18"/>
  <c r="I22" i="18" l="1"/>
  <c r="BI22" i="18"/>
  <c r="AC22" i="18" s="1"/>
  <c r="AX22" i="18"/>
  <c r="BC73" i="18"/>
  <c r="AV73" i="18"/>
  <c r="BI13" i="18"/>
  <c r="AC13" i="18" s="1"/>
  <c r="AX13" i="18"/>
  <c r="H22" i="18"/>
  <c r="H17" i="18" s="1"/>
  <c r="BH22" i="18"/>
  <c r="AB22" i="18" s="1"/>
  <c r="AW301" i="18"/>
  <c r="BH301" i="18"/>
  <c r="AB301" i="18" s="1"/>
  <c r="BC68" i="18"/>
  <c r="I176" i="18"/>
  <c r="AX176" i="18"/>
  <c r="AV176" i="18" s="1"/>
  <c r="BI176" i="18"/>
  <c r="AE176" i="18" s="1"/>
  <c r="AV232" i="18"/>
  <c r="BC232" i="18"/>
  <c r="AX301" i="18"/>
  <c r="BI301" i="18"/>
  <c r="AC301" i="18" s="1"/>
  <c r="BH48" i="18"/>
  <c r="AB48" i="18" s="1"/>
  <c r="AW48" i="18"/>
  <c r="AW79" i="18"/>
  <c r="BH79" i="18"/>
  <c r="AB79" i="18" s="1"/>
  <c r="AW22" i="18"/>
  <c r="AX79" i="18"/>
  <c r="BI79" i="18"/>
  <c r="AC79" i="18" s="1"/>
  <c r="H313" i="18"/>
  <c r="H306" i="18" s="1"/>
  <c r="BH313" i="18"/>
  <c r="AW313" i="18"/>
  <c r="H48" i="18"/>
  <c r="H43" i="18" s="1"/>
  <c r="BI54" i="18"/>
  <c r="AC54" i="18" s="1"/>
  <c r="I54" i="18"/>
  <c r="BC196" i="18"/>
  <c r="AL313" i="18"/>
  <c r="J306" i="18"/>
  <c r="BH317" i="18"/>
  <c r="AW317" i="18"/>
  <c r="AU17" i="18"/>
  <c r="I20" i="18"/>
  <c r="I17" i="18" s="1"/>
  <c r="BI20" i="18"/>
  <c r="AC20" i="18" s="1"/>
  <c r="AL62" i="18"/>
  <c r="J58" i="18"/>
  <c r="J325" i="18" s="1"/>
  <c r="H149" i="18"/>
  <c r="H270" i="18"/>
  <c r="BH270" i="18"/>
  <c r="AB270" i="18" s="1"/>
  <c r="AW270" i="18"/>
  <c r="BC84" i="18"/>
  <c r="BH128" i="18"/>
  <c r="AB128" i="18" s="1"/>
  <c r="AW128" i="18"/>
  <c r="AW159" i="18"/>
  <c r="BH159" i="18"/>
  <c r="AB159" i="18" s="1"/>
  <c r="AV243" i="18"/>
  <c r="BC243" i="18"/>
  <c r="BC20" i="18"/>
  <c r="BC70" i="18"/>
  <c r="AV70" i="18"/>
  <c r="AX128" i="18"/>
  <c r="BI128" i="18"/>
  <c r="AC128" i="18" s="1"/>
  <c r="BC169" i="18"/>
  <c r="I228" i="18"/>
  <c r="I209" i="18" s="1"/>
  <c r="BI228" i="18"/>
  <c r="AC228" i="18" s="1"/>
  <c r="AX228" i="18"/>
  <c r="AV228" i="18" s="1"/>
  <c r="AX20" i="18"/>
  <c r="AV20" i="18" s="1"/>
  <c r="BI24" i="18"/>
  <c r="AC24" i="18" s="1"/>
  <c r="AX24" i="18"/>
  <c r="AU58" i="18"/>
  <c r="AS58" i="18"/>
  <c r="AT12" i="18"/>
  <c r="BI15" i="18"/>
  <c r="AC15" i="18" s="1"/>
  <c r="BC27" i="18"/>
  <c r="I50" i="18"/>
  <c r="BI50" i="18"/>
  <c r="AC50" i="18" s="1"/>
  <c r="BI147" i="18"/>
  <c r="AC147" i="18" s="1"/>
  <c r="I147" i="18"/>
  <c r="I146" i="18" s="1"/>
  <c r="AX147" i="18"/>
  <c r="AV147" i="18" s="1"/>
  <c r="AX166" i="18"/>
  <c r="BI166" i="18"/>
  <c r="AE166" i="18" s="1"/>
  <c r="AV198" i="18"/>
  <c r="BC198" i="18"/>
  <c r="BC233" i="18"/>
  <c r="AV233" i="18"/>
  <c r="BH44" i="18"/>
  <c r="AB44" i="18" s="1"/>
  <c r="AW44" i="18"/>
  <c r="AX245" i="18"/>
  <c r="AV245" i="18" s="1"/>
  <c r="BI245" i="18"/>
  <c r="AC245" i="18" s="1"/>
  <c r="I245" i="18"/>
  <c r="AL44" i="18"/>
  <c r="AU43" i="18" s="1"/>
  <c r="J43" i="18"/>
  <c r="AW249" i="18"/>
  <c r="BH249" i="18"/>
  <c r="AB249" i="18" s="1"/>
  <c r="H62" i="18"/>
  <c r="BC137" i="18"/>
  <c r="AT149" i="18"/>
  <c r="BC245" i="18"/>
  <c r="I313" i="18"/>
  <c r="BI313" i="18"/>
  <c r="AX313" i="18"/>
  <c r="BC54" i="18"/>
  <c r="AW62" i="18"/>
  <c r="BC94" i="18"/>
  <c r="AV94" i="18"/>
  <c r="AW100" i="18"/>
  <c r="BH100" i="18"/>
  <c r="AB100" i="18" s="1"/>
  <c r="I270" i="18"/>
  <c r="BI270" i="18"/>
  <c r="AC270" i="18" s="1"/>
  <c r="AX270" i="18"/>
  <c r="BC39" i="18"/>
  <c r="AX54" i="18"/>
  <c r="AV54" i="18" s="1"/>
  <c r="AX100" i="18"/>
  <c r="BI100" i="18"/>
  <c r="AC100" i="18" s="1"/>
  <c r="I128" i="18"/>
  <c r="H12" i="18"/>
  <c r="AL13" i="18"/>
  <c r="AU12" i="18" s="1"/>
  <c r="BC37" i="18"/>
  <c r="BI59" i="18"/>
  <c r="AC59" i="18" s="1"/>
  <c r="AX59" i="18"/>
  <c r="AV59" i="18" s="1"/>
  <c r="H130" i="18"/>
  <c r="H127" i="18" s="1"/>
  <c r="BH130" i="18"/>
  <c r="AB130" i="18" s="1"/>
  <c r="I166" i="18"/>
  <c r="I165" i="18" s="1"/>
  <c r="BC179" i="18"/>
  <c r="AV179" i="18"/>
  <c r="BC260" i="18"/>
  <c r="BH319" i="18"/>
  <c r="H319" i="18"/>
  <c r="AW319" i="18"/>
  <c r="H79" i="18"/>
  <c r="I48" i="18"/>
  <c r="I43" i="18" s="1"/>
  <c r="BI48" i="18"/>
  <c r="AC48" i="18" s="1"/>
  <c r="AX48" i="18"/>
  <c r="I79" i="18"/>
  <c r="I58" i="18" s="1"/>
  <c r="I62" i="18"/>
  <c r="BI62" i="18"/>
  <c r="AC62" i="18" s="1"/>
  <c r="AX62" i="18"/>
  <c r="BH15" i="18"/>
  <c r="AB15" i="18" s="1"/>
  <c r="AW15" i="18"/>
  <c r="AW263" i="18"/>
  <c r="BH263" i="18"/>
  <c r="AB263" i="18" s="1"/>
  <c r="BC323" i="18"/>
  <c r="BI52" i="18"/>
  <c r="AC52" i="18" s="1"/>
  <c r="I52" i="18"/>
  <c r="H24" i="18"/>
  <c r="BH24" i="18"/>
  <c r="AB24" i="18" s="1"/>
  <c r="AW24" i="18"/>
  <c r="BC29" i="18"/>
  <c r="AT58" i="18"/>
  <c r="BC52" i="18"/>
  <c r="BC132" i="18"/>
  <c r="AV132" i="18"/>
  <c r="AW166" i="18"/>
  <c r="H166" i="18"/>
  <c r="H165" i="18" s="1"/>
  <c r="BH166" i="18"/>
  <c r="AD166" i="18" s="1"/>
  <c r="I13" i="18"/>
  <c r="I12" i="18" s="1"/>
  <c r="AW13" i="18"/>
  <c r="BH13" i="18"/>
  <c r="AB13" i="18" s="1"/>
  <c r="AV35" i="18"/>
  <c r="BC50" i="18"/>
  <c r="AV105" i="18"/>
  <c r="AV125" i="18"/>
  <c r="BC125" i="18"/>
  <c r="BI130" i="18"/>
  <c r="AC130" i="18" s="1"/>
  <c r="AX130" i="18"/>
  <c r="AV130" i="18" s="1"/>
  <c r="I130" i="18"/>
  <c r="BC147" i="18"/>
  <c r="AL166" i="18"/>
  <c r="AU165" i="18" s="1"/>
  <c r="J165" i="18"/>
  <c r="AW237" i="18"/>
  <c r="BH237" i="18"/>
  <c r="AB237" i="18" s="1"/>
  <c r="BI319" i="18"/>
  <c r="AX319" i="18"/>
  <c r="H324" i="18"/>
  <c r="H321" i="18" s="1"/>
  <c r="BH324" i="18"/>
  <c r="AB324" i="18" s="1"/>
  <c r="AS83" i="18"/>
  <c r="J291" i="18"/>
  <c r="AL292" i="18"/>
  <c r="AU291" i="18" s="1"/>
  <c r="BC150" i="18"/>
  <c r="I173" i="18"/>
  <c r="BI173" i="18"/>
  <c r="AE173" i="18" s="1"/>
  <c r="H315" i="18"/>
  <c r="BH315" i="18"/>
  <c r="AX46" i="18"/>
  <c r="AV46" i="18" s="1"/>
  <c r="AW181" i="18"/>
  <c r="BH181" i="18"/>
  <c r="AD181" i="18" s="1"/>
  <c r="AS209" i="18"/>
  <c r="I258" i="18"/>
  <c r="BI258" i="18"/>
  <c r="AC258" i="18" s="1"/>
  <c r="I268" i="18"/>
  <c r="I267" i="18" s="1"/>
  <c r="BI268" i="18"/>
  <c r="AC268" i="18" s="1"/>
  <c r="AX317" i="18"/>
  <c r="AW324" i="18"/>
  <c r="I37" i="18"/>
  <c r="I26" i="18" s="1"/>
  <c r="H68" i="18"/>
  <c r="AV75" i="18"/>
  <c r="I84" i="18"/>
  <c r="I83" i="18" s="1"/>
  <c r="AU83" i="18"/>
  <c r="I105" i="18"/>
  <c r="I104" i="18" s="1"/>
  <c r="AV139" i="18"/>
  <c r="I168" i="18"/>
  <c r="AU168" i="18"/>
  <c r="AT209" i="18"/>
  <c r="BI230" i="18"/>
  <c r="AC230" i="18" s="1"/>
  <c r="I230" i="18"/>
  <c r="AS244" i="18"/>
  <c r="H275" i="18"/>
  <c r="H274" i="18" s="1"/>
  <c r="BH275" i="18"/>
  <c r="AB275" i="18" s="1"/>
  <c r="BI282" i="18"/>
  <c r="AC282" i="18" s="1"/>
  <c r="AX282" i="18"/>
  <c r="AX292" i="18"/>
  <c r="I297" i="18"/>
  <c r="AW298" i="18"/>
  <c r="BH298" i="18"/>
  <c r="AF298" i="18" s="1"/>
  <c r="BC311" i="18"/>
  <c r="I260" i="18"/>
  <c r="BI260" i="18"/>
  <c r="AC260" i="18" s="1"/>
  <c r="AX263" i="18"/>
  <c r="BI263" i="18"/>
  <c r="AC263" i="18" s="1"/>
  <c r="BH292" i="18"/>
  <c r="H292" i="18"/>
  <c r="H291" i="18" s="1"/>
  <c r="AX142" i="18"/>
  <c r="AV142" i="18" s="1"/>
  <c r="I142" i="18"/>
  <c r="I141" i="18" s="1"/>
  <c r="I324" i="18"/>
  <c r="BI324" i="18"/>
  <c r="AC324" i="18" s="1"/>
  <c r="AW190" i="18"/>
  <c r="H190" i="18"/>
  <c r="AV216" i="18"/>
  <c r="AT83" i="18"/>
  <c r="AV98" i="18"/>
  <c r="H35" i="18"/>
  <c r="H26" i="18" s="1"/>
  <c r="BH35" i="18"/>
  <c r="AB35" i="18" s="1"/>
  <c r="AV81" i="18"/>
  <c r="J83" i="18"/>
  <c r="J168" i="18"/>
  <c r="BH169" i="18"/>
  <c r="AD169" i="18" s="1"/>
  <c r="H169" i="18"/>
  <c r="H168" i="18" s="1"/>
  <c r="AX173" i="18"/>
  <c r="AV173" i="18" s="1"/>
  <c r="BC192" i="18"/>
  <c r="AX215" i="18"/>
  <c r="BI215" i="18"/>
  <c r="AC215" i="18" s="1"/>
  <c r="BH216" i="18"/>
  <c r="AB216" i="18" s="1"/>
  <c r="BC234" i="18"/>
  <c r="AV234" i="18"/>
  <c r="AW251" i="18"/>
  <c r="BH251" i="18"/>
  <c r="AB251" i="18" s="1"/>
  <c r="AL275" i="18"/>
  <c r="AU274" i="18" s="1"/>
  <c r="J274" i="18"/>
  <c r="I275" i="18"/>
  <c r="I274" i="18" s="1"/>
  <c r="BI275" i="18"/>
  <c r="AC275" i="18" s="1"/>
  <c r="AW278" i="18"/>
  <c r="BH278" i="18"/>
  <c r="AB278" i="18" s="1"/>
  <c r="J297" i="18"/>
  <c r="AW315" i="18"/>
  <c r="J262" i="18"/>
  <c r="AT306" i="18"/>
  <c r="BH268" i="18"/>
  <c r="AB268" i="18" s="1"/>
  <c r="H268" i="18"/>
  <c r="H267" i="18" s="1"/>
  <c r="AX247" i="18"/>
  <c r="AV247" i="18" s="1"/>
  <c r="I247" i="18"/>
  <c r="J267" i="18"/>
  <c r="AL268" i="18"/>
  <c r="AU267" i="18" s="1"/>
  <c r="H297" i="18"/>
  <c r="AU306" i="18"/>
  <c r="BI315" i="18"/>
  <c r="AX315" i="18"/>
  <c r="H65" i="18"/>
  <c r="BH65" i="18"/>
  <c r="AB65" i="18" s="1"/>
  <c r="BH98" i="18"/>
  <c r="AB98" i="18" s="1"/>
  <c r="AW134" i="18"/>
  <c r="BI142" i="18"/>
  <c r="AC142" i="18" s="1"/>
  <c r="AW203" i="18"/>
  <c r="H203" i="18"/>
  <c r="H202" i="18" s="1"/>
  <c r="J209" i="18"/>
  <c r="BI216" i="18"/>
  <c r="AC216" i="18" s="1"/>
  <c r="H229" i="18"/>
  <c r="H209" i="18" s="1"/>
  <c r="BH229" i="18"/>
  <c r="AB229" i="18" s="1"/>
  <c r="AW238" i="18"/>
  <c r="BH238" i="18"/>
  <c r="AB238" i="18" s="1"/>
  <c r="AU244" i="18"/>
  <c r="BC253" i="18"/>
  <c r="AX258" i="18"/>
  <c r="AV258" i="18" s="1"/>
  <c r="AX268" i="18"/>
  <c r="AV268" i="18" s="1"/>
  <c r="AX278" i="18"/>
  <c r="BI278" i="18"/>
  <c r="AC278" i="18" s="1"/>
  <c r="J321" i="18"/>
  <c r="BH173" i="18"/>
  <c r="AD173" i="18" s="1"/>
  <c r="H173" i="18"/>
  <c r="I196" i="18"/>
  <c r="BI196" i="18"/>
  <c r="AE196" i="18" s="1"/>
  <c r="H181" i="18"/>
  <c r="AW218" i="18"/>
  <c r="BH218" i="18"/>
  <c r="AB218" i="18" s="1"/>
  <c r="BC219" i="18"/>
  <c r="BH282" i="18"/>
  <c r="AB282" i="18" s="1"/>
  <c r="AW282" i="18"/>
  <c r="AW292" i="18"/>
  <c r="H50" i="18"/>
  <c r="BH50" i="18"/>
  <c r="AB50" i="18" s="1"/>
  <c r="BH75" i="18"/>
  <c r="AB75" i="18" s="1"/>
  <c r="BC81" i="18"/>
  <c r="AW90" i="18"/>
  <c r="BI98" i="18"/>
  <c r="AC98" i="18" s="1"/>
  <c r="AX134" i="18"/>
  <c r="BI181" i="18"/>
  <c r="AE181" i="18" s="1"/>
  <c r="AV207" i="18"/>
  <c r="AW215" i="18"/>
  <c r="I229" i="18"/>
  <c r="BI229" i="18"/>
  <c r="AC229" i="18" s="1"/>
  <c r="AX230" i="18"/>
  <c r="AX238" i="18"/>
  <c r="BI238" i="18"/>
  <c r="AC238" i="18" s="1"/>
  <c r="J244" i="18"/>
  <c r="H244" i="18"/>
  <c r="AX272" i="18"/>
  <c r="AV272" i="18" s="1"/>
  <c r="I272" i="18"/>
  <c r="AW275" i="18"/>
  <c r="BC289" i="18"/>
  <c r="BI292" i="18"/>
  <c r="BC307" i="18"/>
  <c r="I323" i="18"/>
  <c r="BI323" i="18"/>
  <c r="AC323" i="18" s="1"/>
  <c r="AX323" i="18"/>
  <c r="AV323" i="18" s="1"/>
  <c r="I144" i="18"/>
  <c r="H185" i="18"/>
  <c r="H184" i="18" s="1"/>
  <c r="BH185" i="18"/>
  <c r="AD185" i="18" s="1"/>
  <c r="H200" i="18"/>
  <c r="BH200" i="18"/>
  <c r="AD200" i="18" s="1"/>
  <c r="H231" i="18"/>
  <c r="I234" i="18"/>
  <c r="AV144" i="18"/>
  <c r="I162" i="18"/>
  <c r="I161" i="18" s="1"/>
  <c r="BI162" i="18"/>
  <c r="AE162" i="18" s="1"/>
  <c r="AS168" i="18"/>
  <c r="AV217" i="18"/>
  <c r="I231" i="18"/>
  <c r="AV302" i="18"/>
  <c r="H141" i="18"/>
  <c r="I198" i="18"/>
  <c r="BI198" i="18"/>
  <c r="AE198" i="18" s="1"/>
  <c r="AV265" i="18"/>
  <c r="I311" i="18"/>
  <c r="BI311" i="18"/>
  <c r="AX139" i="18"/>
  <c r="BC139" i="18" s="1"/>
  <c r="BC144" i="18"/>
  <c r="AW162" i="18"/>
  <c r="AT168" i="18"/>
  <c r="AW185" i="18"/>
  <c r="AW200" i="18"/>
  <c r="H230" i="18"/>
  <c r="BH230" i="18"/>
  <c r="AB230" i="18" s="1"/>
  <c r="AV239" i="18"/>
  <c r="AV242" i="18"/>
  <c r="BC247" i="18"/>
  <c r="BC302" i="18"/>
  <c r="AW304" i="18"/>
  <c r="BC215" i="18" l="1"/>
  <c r="AV215" i="18"/>
  <c r="BC298" i="18"/>
  <c r="AV298" i="18"/>
  <c r="BC59" i="18"/>
  <c r="AV15" i="18"/>
  <c r="BC15" i="18"/>
  <c r="BC130" i="18"/>
  <c r="AV162" i="18"/>
  <c r="BC162" i="18"/>
  <c r="I127" i="18"/>
  <c r="BC62" i="18"/>
  <c r="AV62" i="18"/>
  <c r="AV249" i="18"/>
  <c r="BC249" i="18"/>
  <c r="BC272" i="18"/>
  <c r="I306" i="18"/>
  <c r="AV263" i="18"/>
  <c r="BC263" i="18"/>
  <c r="BC100" i="18"/>
  <c r="AV100" i="18"/>
  <c r="BC128" i="18"/>
  <c r="AV128" i="18"/>
  <c r="AV238" i="18"/>
  <c r="BC238" i="18"/>
  <c r="BC228" i="18"/>
  <c r="BC22" i="18"/>
  <c r="AV22" i="18"/>
  <c r="AV230" i="18"/>
  <c r="BC230" i="18"/>
  <c r="BC176" i="18"/>
  <c r="AV278" i="18"/>
  <c r="BC278" i="18"/>
  <c r="BC324" i="18"/>
  <c r="AV324" i="18"/>
  <c r="BC237" i="18"/>
  <c r="AV237" i="18"/>
  <c r="BC46" i="18"/>
  <c r="BC173" i="18"/>
  <c r="BC270" i="18"/>
  <c r="AV270" i="18"/>
  <c r="BC79" i="18"/>
  <c r="AV79" i="18"/>
  <c r="BC13" i="18"/>
  <c r="AV13" i="18"/>
  <c r="AV275" i="18"/>
  <c r="BC275" i="18"/>
  <c r="AV134" i="18"/>
  <c r="BC134" i="18"/>
  <c r="BC44" i="18"/>
  <c r="AV44" i="18"/>
  <c r="AV218" i="18"/>
  <c r="BC218" i="18"/>
  <c r="AV251" i="18"/>
  <c r="BC251" i="18"/>
  <c r="AV166" i="18"/>
  <c r="BC166" i="18"/>
  <c r="H58" i="18"/>
  <c r="BC159" i="18"/>
  <c r="AV159" i="18"/>
  <c r="AV200" i="18"/>
  <c r="BC200" i="18"/>
  <c r="AV185" i="18"/>
  <c r="BC185" i="18"/>
  <c r="I189" i="18"/>
  <c r="BC319" i="18"/>
  <c r="AV319" i="18"/>
  <c r="BC268" i="18"/>
  <c r="AV304" i="18"/>
  <c r="BC304" i="18"/>
  <c r="BC142" i="18"/>
  <c r="I321" i="18"/>
  <c r="BC292" i="18"/>
  <c r="AV292" i="18"/>
  <c r="H189" i="18"/>
  <c r="BC24" i="18"/>
  <c r="AV24" i="18"/>
  <c r="BC48" i="18"/>
  <c r="AV48" i="18"/>
  <c r="BC301" i="18"/>
  <c r="AV301" i="18"/>
  <c r="AV203" i="18"/>
  <c r="BC203" i="18"/>
  <c r="BC313" i="18"/>
  <c r="AV313" i="18"/>
  <c r="BC90" i="18"/>
  <c r="AV90" i="18"/>
  <c r="BC181" i="18"/>
  <c r="AV181" i="18"/>
  <c r="BC315" i="18"/>
  <c r="AV315" i="18"/>
  <c r="BC258" i="18"/>
  <c r="BC317" i="18"/>
  <c r="AV317" i="18"/>
  <c r="BC282" i="18"/>
  <c r="AV282" i="18"/>
  <c r="AV190" i="18"/>
  <c r="BC190" i="18"/>
  <c r="I244" i="18"/>
  <c r="F145" i="9" l="1"/>
  <c r="F144" i="9" s="1"/>
  <c r="G21" i="10" l="1"/>
  <c r="G22" i="10"/>
  <c r="H113" i="14"/>
  <c r="H112" i="14"/>
  <c r="H111" i="14"/>
  <c r="H110" i="14"/>
  <c r="H109" i="14"/>
  <c r="H108" i="14"/>
  <c r="H107" i="14"/>
  <c r="H104" i="14"/>
  <c r="H101" i="14"/>
  <c r="H98" i="14"/>
  <c r="H97" i="14"/>
  <c r="H96" i="14"/>
  <c r="H93" i="14"/>
  <c r="H92" i="14"/>
  <c r="H91" i="14"/>
  <c r="H90" i="14"/>
  <c r="H89" i="14"/>
  <c r="H88" i="14"/>
  <c r="H87" i="14"/>
  <c r="H84" i="14"/>
  <c r="H83" i="14"/>
  <c r="H82" i="14"/>
  <c r="H81" i="14"/>
  <c r="H80" i="14"/>
  <c r="H79" i="14"/>
  <c r="H78" i="14"/>
  <c r="H77" i="14"/>
  <c r="H76" i="14"/>
  <c r="H75" i="14"/>
  <c r="H74" i="14"/>
  <c r="H71" i="14"/>
  <c r="H70" i="14"/>
  <c r="H69" i="14"/>
  <c r="H68" i="14"/>
  <c r="H67" i="14"/>
  <c r="H66" i="14"/>
  <c r="H65" i="14"/>
  <c r="H64" i="14"/>
  <c r="H63" i="14"/>
  <c r="H62" i="14"/>
  <c r="H61" i="14"/>
  <c r="H60" i="14"/>
  <c r="H59" i="14"/>
  <c r="H58" i="14"/>
  <c r="H55" i="14"/>
  <c r="H54" i="14"/>
  <c r="H53" i="14"/>
  <c r="H52" i="14"/>
  <c r="H51" i="14"/>
  <c r="H48" i="14"/>
  <c r="H47" i="14"/>
  <c r="H46" i="14"/>
  <c r="H43" i="14"/>
  <c r="H40" i="14"/>
  <c r="H37" i="14"/>
  <c r="H36" i="14"/>
  <c r="H35" i="14"/>
  <c r="H34" i="14"/>
  <c r="H33" i="14"/>
  <c r="H32" i="14"/>
  <c r="H31" i="14"/>
  <c r="H28" i="14"/>
  <c r="H25" i="14"/>
  <c r="H24" i="14"/>
  <c r="H23" i="14"/>
  <c r="H20" i="14"/>
  <c r="H19" i="14"/>
  <c r="H18" i="14"/>
  <c r="H17" i="14"/>
  <c r="H16" i="14"/>
  <c r="H15" i="14"/>
  <c r="H14" i="14"/>
  <c r="H11" i="14"/>
  <c r="H10" i="14"/>
  <c r="H9" i="14"/>
  <c r="H8" i="14"/>
  <c r="H7" i="14"/>
  <c r="H116" i="14" l="1"/>
  <c r="G27" i="10" s="1"/>
  <c r="H107" i="13"/>
  <c r="H106" i="13"/>
  <c r="H105" i="13"/>
  <c r="H104" i="13"/>
  <c r="H103" i="13"/>
  <c r="H102" i="13"/>
  <c r="H101" i="13"/>
  <c r="H98" i="13"/>
  <c r="H97" i="13"/>
  <c r="H96" i="13"/>
  <c r="H93" i="13"/>
  <c r="H92" i="13"/>
  <c r="H91" i="13"/>
  <c r="H90" i="13"/>
  <c r="H89" i="13"/>
  <c r="H88" i="13"/>
  <c r="D87" i="13"/>
  <c r="H87" i="13" s="1"/>
  <c r="H85" i="13"/>
  <c r="H84" i="13"/>
  <c r="H83" i="13"/>
  <c r="H80" i="13"/>
  <c r="H79" i="13"/>
  <c r="H78" i="13"/>
  <c r="H77" i="13"/>
  <c r="H76" i="13"/>
  <c r="H75" i="13"/>
  <c r="H74" i="13"/>
  <c r="H73" i="13"/>
  <c r="H72" i="13"/>
  <c r="H71" i="13"/>
  <c r="H70" i="13"/>
  <c r="H67" i="13"/>
  <c r="D66" i="13"/>
  <c r="H66" i="13" s="1"/>
  <c r="H65" i="13"/>
  <c r="H64" i="13"/>
  <c r="H63" i="13"/>
  <c r="H62" i="13"/>
  <c r="H61" i="13"/>
  <c r="H60" i="13"/>
  <c r="H59" i="13"/>
  <c r="H58" i="13"/>
  <c r="H57" i="13"/>
  <c r="H54" i="13"/>
  <c r="H53" i="13"/>
  <c r="H52" i="13"/>
  <c r="H51" i="13"/>
  <c r="H50" i="13"/>
  <c r="H49" i="13"/>
  <c r="H48" i="13"/>
  <c r="H45" i="13"/>
  <c r="H44" i="13"/>
  <c r="H43" i="13"/>
  <c r="H42" i="13"/>
  <c r="H39" i="13"/>
  <c r="H38" i="13"/>
  <c r="H37" i="13"/>
  <c r="H36" i="13"/>
  <c r="H35" i="13"/>
  <c r="H34" i="13"/>
  <c r="H33" i="13"/>
  <c r="H32" i="13"/>
  <c r="H31" i="13"/>
  <c r="H30" i="13"/>
  <c r="H29" i="13"/>
  <c r="H28" i="13"/>
  <c r="H27" i="13"/>
  <c r="H26" i="13"/>
  <c r="H25" i="13"/>
  <c r="H22" i="13"/>
  <c r="H21" i="13"/>
  <c r="H20" i="13"/>
  <c r="H19" i="13"/>
  <c r="H18" i="13"/>
  <c r="H15" i="13"/>
  <c r="H14" i="13"/>
  <c r="H13" i="13"/>
  <c r="H12" i="13"/>
  <c r="H9" i="13"/>
  <c r="H8" i="13"/>
  <c r="H7" i="13"/>
  <c r="H110" i="13" l="1"/>
  <c r="G26" i="10" s="1"/>
  <c r="B174" i="11"/>
  <c r="F171" i="11"/>
  <c r="F170" i="11"/>
  <c r="F167" i="11"/>
  <c r="F166" i="11"/>
  <c r="F165" i="11"/>
  <c r="F164" i="11"/>
  <c r="F163" i="11"/>
  <c r="F162" i="11"/>
  <c r="F161" i="11"/>
  <c r="F160" i="11"/>
  <c r="F156" i="11"/>
  <c r="F155" i="11"/>
  <c r="F154" i="11"/>
  <c r="F150" i="11"/>
  <c r="F149" i="11"/>
  <c r="F148" i="11"/>
  <c r="F147" i="11"/>
  <c r="F144" i="11"/>
  <c r="F143" i="11"/>
  <c r="F142" i="11"/>
  <c r="F141" i="11"/>
  <c r="F138" i="11"/>
  <c r="F137" i="11"/>
  <c r="F136" i="11"/>
  <c r="F135" i="11"/>
  <c r="F134" i="11"/>
  <c r="F133" i="11"/>
  <c r="F132" i="11"/>
  <c r="F131" i="11"/>
  <c r="F130" i="11"/>
  <c r="F129" i="11"/>
  <c r="F126" i="11"/>
  <c r="F125" i="11"/>
  <c r="F124" i="11"/>
  <c r="F123" i="11"/>
  <c r="F122" i="11"/>
  <c r="F121" i="11"/>
  <c r="F118" i="11"/>
  <c r="F117" i="11"/>
  <c r="F116" i="11"/>
  <c r="F115" i="11"/>
  <c r="C114" i="11"/>
  <c r="F114" i="11" s="1"/>
  <c r="F113" i="11"/>
  <c r="F112" i="11"/>
  <c r="F111" i="11"/>
  <c r="F110" i="11"/>
  <c r="F109" i="11"/>
  <c r="F108" i="11"/>
  <c r="F104" i="11"/>
  <c r="F103" i="11"/>
  <c r="F102" i="11"/>
  <c r="F101" i="11"/>
  <c r="F100" i="11"/>
  <c r="F99" i="11"/>
  <c r="F174" i="11" l="1"/>
  <c r="F95" i="11" s="1"/>
  <c r="E51" i="11" s="1"/>
  <c r="E53" i="11" s="1"/>
  <c r="E55" i="11" s="1"/>
  <c r="G24" i="10" l="1"/>
  <c r="F123" i="9"/>
  <c r="F110" i="9"/>
  <c r="F109" i="9" l="1"/>
  <c r="F142" i="9"/>
  <c r="F141" i="9"/>
  <c r="F176" i="9"/>
  <c r="F155" i="9"/>
  <c r="F125" i="9"/>
  <c r="F140" i="9"/>
  <c r="F132" i="9"/>
  <c r="F130" i="9"/>
  <c r="F131" i="9"/>
  <c r="F103" i="9"/>
  <c r="F108" i="9"/>
  <c r="F107" i="9"/>
  <c r="F101" i="9"/>
  <c r="F98" i="9"/>
  <c r="F97" i="9"/>
  <c r="F104" i="9"/>
  <c r="F133" i="9"/>
  <c r="F134" i="9"/>
  <c r="F136" i="9"/>
  <c r="F137" i="9"/>
  <c r="F138" i="9"/>
  <c r="F139" i="9"/>
  <c r="F150" i="9"/>
  <c r="F153" i="9"/>
  <c r="F167" i="9"/>
  <c r="F168" i="9"/>
  <c r="F169" i="9"/>
  <c r="F170" i="9"/>
  <c r="F119" i="9"/>
  <c r="F120" i="9"/>
  <c r="F135" i="9" l="1"/>
  <c r="B79" i="9"/>
  <c r="B161" i="9" s="1"/>
  <c r="B78" i="9"/>
  <c r="B160" i="9" s="1"/>
  <c r="B77" i="9"/>
  <c r="B159" i="9" s="1"/>
  <c r="F175" i="9"/>
  <c r="F173" i="9"/>
  <c r="F172" i="9"/>
  <c r="F154" i="9"/>
  <c r="F149" i="9"/>
  <c r="F129" i="9"/>
  <c r="F128" i="9"/>
  <c r="F127" i="9"/>
  <c r="F126" i="9"/>
  <c r="F124" i="9"/>
  <c r="F122" i="9"/>
  <c r="F121" i="9"/>
  <c r="F116" i="9"/>
  <c r="F115" i="9"/>
  <c r="F114" i="9"/>
  <c r="F113" i="9"/>
  <c r="F106" i="9"/>
  <c r="F105" i="9"/>
  <c r="F102" i="9"/>
  <c r="F100" i="9"/>
  <c r="F99" i="9"/>
  <c r="F96" i="9"/>
  <c r="F93" i="9"/>
  <c r="F92" i="9"/>
  <c r="F91" i="9"/>
  <c r="F90" i="9"/>
  <c r="F89" i="9"/>
  <c r="F88" i="9"/>
  <c r="F87" i="9"/>
  <c r="F86" i="9"/>
  <c r="F118" i="9" l="1"/>
  <c r="F95" i="9"/>
  <c r="F152" i="9"/>
  <c r="F166" i="9"/>
  <c r="F85" i="9"/>
  <c r="F112" i="9"/>
  <c r="F83" i="9" l="1"/>
  <c r="D42" i="9"/>
  <c r="G25" i="10"/>
  <c r="F29" i="10" s="1"/>
  <c r="G31" i="10" s="1"/>
  <c r="G37" i="10" s="1"/>
  <c r="E178" i="9"/>
  <c r="D44" i="9" l="1"/>
  <c r="D46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Kodiš Karel</author>
  </authors>
  <commentList>
    <comment ref="A88" authorId="0" shapeId="0" xr:uid="{E1DAEE8C-2E1B-4293-8FFB-2360D4DB0F32}">
      <text>
        <r>
          <rPr>
            <b/>
            <sz val="9"/>
            <color indexed="81"/>
            <rFont val="Tahoma"/>
            <family val="2"/>
            <charset val="238"/>
          </rPr>
          <t>Kodiš Karel: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89" authorId="0" shapeId="0" xr:uid="{B41EFF34-7FE8-41F3-8537-86676DAD2631}">
      <text>
        <r>
          <rPr>
            <b/>
            <sz val="9"/>
            <color indexed="81"/>
            <rFont val="Tahoma"/>
            <family val="2"/>
            <charset val="238"/>
          </rPr>
          <t>Kodiš Karel: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<sst xmlns="http://schemas.openxmlformats.org/spreadsheetml/2006/main" count="5217" uniqueCount="1531">
  <si>
    <t xml:space="preserve">    732 - Ústřední vytápění - strojovny</t>
  </si>
  <si>
    <t xml:space="preserve">    734 - Ústřední vytápění - armatury</t>
  </si>
  <si>
    <t xml:space="preserve">    767 - Konstrukce zámečnické</t>
  </si>
  <si>
    <t xml:space="preserve">    783 - Dokončovací práce - nátěry</t>
  </si>
  <si>
    <t>HZS - Hodinové zúčtovací sazby</t>
  </si>
  <si>
    <t>VRN - Vedlejší rozpočtové náklady</t>
  </si>
  <si>
    <t xml:space="preserve">    VRN7 - Provozní vlivy</t>
  </si>
  <si>
    <t>m</t>
  </si>
  <si>
    <t>Potrubí vodovodní plastové PPR svar polyfuze PN 20 D 110 x 18,4 mm</t>
  </si>
  <si>
    <t>Přesun hmot tonážní pro vnitřní vodovod v objektech v do 6 m</t>
  </si>
  <si>
    <t>t</t>
  </si>
  <si>
    <t xml:space="preserve">Montáž deskového výměníku výměníku tepla </t>
  </si>
  <si>
    <t>soubor</t>
  </si>
  <si>
    <t>Potrubí ocelové závitové bezešvé zesílené v kotelnách nebo strojovnách DN 50</t>
  </si>
  <si>
    <t>kus</t>
  </si>
  <si>
    <t>Filtr DN 65 PN 16 do 300°C z uhlíkové oceli s vypouštěcí přírubou</t>
  </si>
  <si>
    <t>Ventil závitový odvzdušňovací G 3/8 PN 10 do 120°C otopných těles</t>
  </si>
  <si>
    <t>Kohout plnící a vypouštěcí G 1/2 PN 10 do 110°C závitový</t>
  </si>
  <si>
    <t>Kohout kulový přímý G 1 PN 42 do 185°C vnitřní závit</t>
  </si>
  <si>
    <t>Kohout kulový přímý G 2 PN 42 do 185°C vnitřní závit</t>
  </si>
  <si>
    <t>Kohout kulový přímý G 2 1/2 PN 42 do 185°C vnitřní závit</t>
  </si>
  <si>
    <t>Ochranná jímka se závitem do G 1</t>
  </si>
  <si>
    <t>Návarek s trubkovým závitem G 1/2</t>
  </si>
  <si>
    <t>kg</t>
  </si>
  <si>
    <t>Základní antikorozní jednonásobný syntetický potrubí DN do 100 mm</t>
  </si>
  <si>
    <t>Mezinátěr jednonásobný syntetický nátěr potrubí DN do 100 mm</t>
  </si>
  <si>
    <t>Krycí jednonásobný syntetický nátěr potrubí DN do 100 mm</t>
  </si>
  <si>
    <t>Hodinová zúčtovací sazba zedník- stavební přípomoce</t>
  </si>
  <si>
    <t>hod</t>
  </si>
  <si>
    <t>Hodinová zúčtovací sazba instalatér- topná zkouška</t>
  </si>
  <si>
    <t>Hodinová zúčtovací sazba instalatér odborný- uvedení do provozu</t>
  </si>
  <si>
    <t>Inženýrská činnost- zaškolení obsluhy</t>
  </si>
  <si>
    <t>Provozní vlivy- lešení</t>
  </si>
  <si>
    <t>Montáž čerpadla oběhového mokroběžného přírubového DN 65 jednodílné</t>
  </si>
  <si>
    <t>Montáž čerpadla oběhového mokroběžného přírubového DN 80 jednodílné</t>
  </si>
  <si>
    <t>Potrubí ocelové hladké bezešvé v kotelnách nebo strojovnách D 89x3,6</t>
  </si>
  <si>
    <t>Potrubí ocelové hladké bezešvé v kotelnách nebo strojovnách D 108x4,0</t>
  </si>
  <si>
    <t>Filtr DN 80 PN 16 do 300°C z uhlíkové oceli s vypouštěcí přírubou</t>
  </si>
  <si>
    <t>Potrubí vodovodní plastové PPR svar polyfuze PN 20 D 90 x 15,0 mm</t>
  </si>
  <si>
    <t>izolace nádob ti.32mm</t>
  </si>
  <si>
    <t>m2</t>
  </si>
  <si>
    <t>Hennlich spol. s r.o.</t>
  </si>
  <si>
    <t>Českolipská  9</t>
  </si>
  <si>
    <t>Litoměřice</t>
  </si>
  <si>
    <t xml:space="preserve"> 11/2022</t>
  </si>
  <si>
    <t>Č. pol.</t>
  </si>
  <si>
    <t>Popis položky</t>
  </si>
  <si>
    <t>Množ.</t>
  </si>
  <si>
    <t>Jedn.</t>
  </si>
  <si>
    <t>Jedn.cena</t>
  </si>
  <si>
    <t>Celk.cena</t>
  </si>
  <si>
    <t>Kč</t>
  </si>
  <si>
    <t>Vypracoval: Ing. Karel Kodiš</t>
  </si>
  <si>
    <t>Strojovna tepelných čerpadel</t>
  </si>
  <si>
    <t>PS 01-2 Strojovna tepelných čerpadel</t>
  </si>
  <si>
    <t>DPH 21 %</t>
  </si>
  <si>
    <t>Celkem vč. DPH</t>
  </si>
  <si>
    <t>Teploměr technický í připojení průměr 63 mm délky 100 mm</t>
  </si>
  <si>
    <t>Grundfos  TP 80-90/4 A-F-A-BQQE-HW3</t>
  </si>
  <si>
    <t>Grundfos TP 65-120/2 A-F-A-BQQE-GW1, 3f  1,1 kW</t>
  </si>
  <si>
    <t>Rozebiratelný deskový výmění- chlazení 545 kW</t>
  </si>
  <si>
    <t>Rozebiratelný deskový výmění- ohřev bazénové vody 199 kW</t>
  </si>
  <si>
    <t>Tepelné čerpadlo  DS5235.5T voda-/voda  238 kW (10/35)</t>
  </si>
  <si>
    <t>Montáž tepelného čerpadla  268 kW</t>
  </si>
  <si>
    <t>kpl</t>
  </si>
  <si>
    <t>Potrubí ocelové závitové bezešvé zesílené v kotelnách nebo strojovnách DN25</t>
  </si>
  <si>
    <t xml:space="preserve">Kulový  kohout DN 65, ON-OFF , servopohon 240V </t>
  </si>
  <si>
    <t xml:space="preserve">Klapka mezipřírubová DN 100, ON-OFF , servopohon 240V </t>
  </si>
  <si>
    <t>Klapka mezipřírubová DN 125</t>
  </si>
  <si>
    <t>Rozdělovací armatura závitová trojcestná DN 65 se servopohorem</t>
  </si>
  <si>
    <t>Nádoba tlaková expanzní s membránou S18/10 závitové připojení PN 1 o objemu 18 litrů</t>
  </si>
  <si>
    <t>Nádoba tlaková expanzní s membránou NG 25/6</t>
  </si>
  <si>
    <t>Zkouška těsnosti potrubí ocelové hladké přes D 60,3x2,9 do D 108x4,0</t>
  </si>
  <si>
    <t>Grundfos  TPE 80-90/4 A-F-A-BQQE-HW3</t>
  </si>
  <si>
    <t>Regulační í ventil  DN40  kv=20m3/h,MPBus, servopohon</t>
  </si>
  <si>
    <t>Klapka  závitová zpětná přímá G 2  PN 16 do 110°C</t>
  </si>
  <si>
    <t>Ventil závitový pojistný rohový G 2 o,p 4 bar</t>
  </si>
  <si>
    <t>Ventil závitový pojistný rohový G 6/4, o.p. 2,5 bar</t>
  </si>
  <si>
    <t xml:space="preserve">Klapka mezipřírubová uzavírací DN 100 PN 16 do 120°C </t>
  </si>
  <si>
    <t>Tlakoměr s  tlak 0-16 bar průměr 63 mm spodní připojení</t>
  </si>
  <si>
    <t>Manometrický kohout M20*1,5</t>
  </si>
  <si>
    <t>Akumulační nádrž montáž hrdel do DN 125</t>
  </si>
  <si>
    <t>Kompenzátor pro ocelové potrubí přírubový  DN 65  PN 16 do 90°C závitový</t>
  </si>
  <si>
    <t>Montážní materiál : příruby, šrouby, závěsy</t>
  </si>
  <si>
    <t>izolace kaučuk 108*20 mm</t>
  </si>
  <si>
    <t>izolace kaučuk 125*20</t>
  </si>
  <si>
    <t>izolace kaučuk 76*20mm</t>
  </si>
  <si>
    <t xml:space="preserve">    733 - Ústřední vytápění - rozvodné potrubí svařované včetně tvarovek </t>
  </si>
  <si>
    <t xml:space="preserve">    722 - Zdravotechnika vnitřní vodovod včetně tvarovek</t>
  </si>
  <si>
    <t>Zkouška těsnosti vodovodního potrubí  do DN 100</t>
  </si>
  <si>
    <t>Přesun hmot tonážní pro ústřední vytápění v objektech v do 6 m</t>
  </si>
  <si>
    <t>Nová přípojka termální vody pro AQUACENTRUM Teplice</t>
  </si>
  <si>
    <t>Stavba:</t>
  </si>
  <si>
    <t>Místo:</t>
  </si>
  <si>
    <t>Objednatel:</t>
  </si>
  <si>
    <t>IČ:</t>
  </si>
  <si>
    <t>DIČ:</t>
  </si>
  <si>
    <t>Zhotovitel:</t>
  </si>
  <si>
    <t>Projektant:</t>
  </si>
  <si>
    <t>Poznámka:</t>
  </si>
  <si>
    <t>Cena bez DPH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</si>
  <si>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</si>
  <si>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</si>
  <si>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</si>
  <si>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</si>
  <si>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</si>
  <si>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</si>
  <si>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</si>
  <si>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Projektant</t>
  </si>
  <si>
    <t>Datum a podpis:</t>
  </si>
  <si>
    <t>Objednavatel</t>
  </si>
  <si>
    <t>KRYCÍ LIST ROZPOČTU</t>
  </si>
  <si>
    <t>Objekt:</t>
  </si>
  <si>
    <t>Ostatní náklady</t>
  </si>
  <si>
    <t xml:space="preserve">NOVÁ PŘÍPOJKA TERMÁLNÍ VODY  PRO AQUACENTRUM  TEPLICE      </t>
  </si>
  <si>
    <t>Aloise Jiráska 3149</t>
  </si>
  <si>
    <t>Aloise Jiráska 3149, 415 01 Teplice</t>
  </si>
  <si>
    <t>Českoipská 9</t>
  </si>
  <si>
    <t>AQUACENTRUM Teplice</t>
  </si>
  <si>
    <t>415 01 Teplice</t>
  </si>
  <si>
    <t>CZ14869446</t>
  </si>
  <si>
    <t>Aquacentrum Teplice -  Ing . Michael Paraska</t>
  </si>
  <si>
    <t>Českolipská 9, 412 01  Litoměřice</t>
  </si>
  <si>
    <t>Montáž atypických zámečnických konstrukcí hmotnosti do 10 kg- závěsy</t>
  </si>
  <si>
    <t>1.1.006</t>
  </si>
  <si>
    <t>Čerpadlo ponorné Grudnfos  DPK.10.50.15-5-0D24,27m3/h,  H= 11,42m, Pel 4,5 kW (3*380V)</t>
  </si>
  <si>
    <t>ks</t>
  </si>
  <si>
    <t>1.1.001</t>
  </si>
  <si>
    <t>1.1.002</t>
  </si>
  <si>
    <t>1.1.003</t>
  </si>
  <si>
    <t>1.1.004</t>
  </si>
  <si>
    <t>1.1.005</t>
  </si>
  <si>
    <t>1.1.007</t>
  </si>
  <si>
    <t>1.1.008</t>
  </si>
  <si>
    <t>1.2.001</t>
  </si>
  <si>
    <t>1.2.002</t>
  </si>
  <si>
    <t>1.2.003</t>
  </si>
  <si>
    <t>1.2.004</t>
  </si>
  <si>
    <t>1.2.005</t>
  </si>
  <si>
    <t>1.2.006</t>
  </si>
  <si>
    <t>1.2.007</t>
  </si>
  <si>
    <t>1.2.008</t>
  </si>
  <si>
    <t>1.2.009</t>
  </si>
  <si>
    <t>1.2.010</t>
  </si>
  <si>
    <t>1.2.011</t>
  </si>
  <si>
    <t>1.2.012</t>
  </si>
  <si>
    <t>1.2.013</t>
  </si>
  <si>
    <t>1.2.014</t>
  </si>
  <si>
    <t>1.2.015</t>
  </si>
  <si>
    <t>2.1.001</t>
  </si>
  <si>
    <t>2.1.002</t>
  </si>
  <si>
    <t>2.1.003</t>
  </si>
  <si>
    <t>2.1.004</t>
  </si>
  <si>
    <t>2.1.005</t>
  </si>
  <si>
    <t>2.1.006</t>
  </si>
  <si>
    <t>2.1.007</t>
  </si>
  <si>
    <t>2.1.008</t>
  </si>
  <si>
    <t>2.1.009</t>
  </si>
  <si>
    <t>2.1.010</t>
  </si>
  <si>
    <t>2.1.011</t>
  </si>
  <si>
    <t>2.1.012</t>
  </si>
  <si>
    <t>2.1.013</t>
  </si>
  <si>
    <t>2.1.014</t>
  </si>
  <si>
    <t>2.1.015</t>
  </si>
  <si>
    <t>2.1.016</t>
  </si>
  <si>
    <t>2.1.017</t>
  </si>
  <si>
    <t>2.1.018</t>
  </si>
  <si>
    <t>2.1.019</t>
  </si>
  <si>
    <t>2.1.020</t>
  </si>
  <si>
    <t>2.1.021</t>
  </si>
  <si>
    <t>2.1.022</t>
  </si>
  <si>
    <t>2.1.023</t>
  </si>
  <si>
    <t>2.1.024</t>
  </si>
  <si>
    <t>2.1.025</t>
  </si>
  <si>
    <t>2.1.026</t>
  </si>
  <si>
    <t>3.1.001</t>
  </si>
  <si>
    <t>3.1.002</t>
  </si>
  <si>
    <t>3.1.003</t>
  </si>
  <si>
    <t>3.1.004</t>
  </si>
  <si>
    <t>3.1.005</t>
  </si>
  <si>
    <t>3.1.006</t>
  </si>
  <si>
    <t>3.1.007</t>
  </si>
  <si>
    <t>3.1.008</t>
  </si>
  <si>
    <t>3.1.009</t>
  </si>
  <si>
    <t>3.1.010</t>
  </si>
  <si>
    <t>3.1.011</t>
  </si>
  <si>
    <t>Klapka  závitová zpětná přímá G 21/2"  PN 16 do 110°C</t>
  </si>
  <si>
    <t xml:space="preserve">PS 01-2/2 </t>
  </si>
  <si>
    <t xml:space="preserve">PS 01-2 ROZPOČET </t>
  </si>
  <si>
    <t>Nová přípojka termální vody pr0 AQUACENTRUM Teplice</t>
  </si>
  <si>
    <t xml:space="preserve"> PS 01 Rozpočet</t>
  </si>
  <si>
    <t xml:space="preserve">                        </t>
  </si>
  <si>
    <t>Zpracova:l Ing. Karel Kodiš</t>
  </si>
  <si>
    <t xml:space="preserve">PS01-1/2 </t>
  </si>
  <si>
    <t>1.1.</t>
  </si>
  <si>
    <t>Čerpací stanice strojní část</t>
  </si>
  <si>
    <t>Čerpadlo ponorné Grundfos SE1.50.65.30.2.50D.B Q=29,5m3/h, H=15m včetně montáže</t>
  </si>
  <si>
    <t xml:space="preserve">Frekvenční měnič CVX380-500V </t>
  </si>
  <si>
    <t>Průmyslový vodoměr WDE- K40,DN65,SV</t>
  </si>
  <si>
    <t>Impulsní kabel pro průmyslový vodoměr WDE K, IWM-TX4</t>
  </si>
  <si>
    <t xml:space="preserve">Automatický filtr  AF Aqua Global </t>
  </si>
  <si>
    <t>Čerpadlo ponorné Grudnfos  DPK.10.50.15-5-0D24,27m3/h,  H= 11,42m, Pel 4,5 kW (3*380V) včetně montáže</t>
  </si>
  <si>
    <t>1.2.</t>
  </si>
  <si>
    <t xml:space="preserve">Potrubí zPEHD/Pe100 SDR17  PN 10 spojené  svařováním  vč. Elektrotvarovek a spojovacího materiálu </t>
  </si>
  <si>
    <t>PEHD potrubí 110*6,6 Tyče 6m (10,5m)</t>
  </si>
  <si>
    <t xml:space="preserve">PEHD potrubí 110*6,6 Tyče 6m </t>
  </si>
  <si>
    <t>PEHD elektrofůzní koleno 90°, DN100</t>
  </si>
  <si>
    <t xml:space="preserve">PEHD elektrofůzní T kus </t>
  </si>
  <si>
    <t>PEHD lemový nákružek DN100, l=86mm</t>
  </si>
  <si>
    <t>PEHD lemový nákružek DN65, l=75mm</t>
  </si>
  <si>
    <t>PEHD redukce DN200/100</t>
  </si>
  <si>
    <t>PEHD redukce DN100/65</t>
  </si>
  <si>
    <t>PEHD potrubí 65*3,2 (10m)</t>
  </si>
  <si>
    <t>bm</t>
  </si>
  <si>
    <t>PEHD  elektrofůzní  koleno 45°,DN65</t>
  </si>
  <si>
    <t>PEHD  elektrofůzní  koleno 90°,DN65</t>
  </si>
  <si>
    <t>Materiál 1.4301 (nerez)</t>
  </si>
  <si>
    <t>Točivá příruba DN100-PN10,  DIN 2642</t>
  </si>
  <si>
    <t>Točivá příruba DN65-PN10,  DIN 2642</t>
  </si>
  <si>
    <t>koleno přivařovací 70 *2</t>
  </si>
  <si>
    <t>Redukce 108,0/76,1*2</t>
  </si>
  <si>
    <t>přivařovací příruba plochá DIN 2576 DN 65 /PN10/76,1 b=10</t>
  </si>
  <si>
    <t>1.2.016</t>
  </si>
  <si>
    <t>přivařovací příruba plochá DIN 2576 DN 100 /PN10/108 b=10</t>
  </si>
  <si>
    <t xml:space="preserve">Spojovací materiá - 1.4301 </t>
  </si>
  <si>
    <t>1.2.017</t>
  </si>
  <si>
    <t>šrouby M16/70</t>
  </si>
  <si>
    <t>1.2.018</t>
  </si>
  <si>
    <t>matice M16</t>
  </si>
  <si>
    <t>1.2.019</t>
  </si>
  <si>
    <t>podložka přesná M16</t>
  </si>
  <si>
    <t>1.2.020</t>
  </si>
  <si>
    <t>závitová tyč nerez M10 ,6,64m</t>
  </si>
  <si>
    <t>1.2.021</t>
  </si>
  <si>
    <t>šrouby M8/45</t>
  </si>
  <si>
    <t>1.2.022</t>
  </si>
  <si>
    <t>Matice M8</t>
  </si>
  <si>
    <t>1.2.023</t>
  </si>
  <si>
    <t>Podložka přesná M 8</t>
  </si>
  <si>
    <t>1.2.024</t>
  </si>
  <si>
    <t>objímka FRS - L 111-119 Universal 4"DN100</t>
  </si>
  <si>
    <t>1.2.025</t>
  </si>
  <si>
    <t>objímka FRS - L 111-119 Universal 8"DN200</t>
  </si>
  <si>
    <t>1.2.026</t>
  </si>
  <si>
    <t>montáž  závěsných tyčí M10  do stropu - beton</t>
  </si>
  <si>
    <t>Montáž zámečnických konstrukcí</t>
  </si>
  <si>
    <t>1.2.027</t>
  </si>
  <si>
    <t>Montáž atypických zámečnických konstrukcí hmotnosti do 50 kg</t>
  </si>
  <si>
    <t>1.2.028</t>
  </si>
  <si>
    <t>Podpora filtru   atyp. konstrukce profil 80*7  - celkem 3m, 80*5 1,6m, jakl 25*25*2 -2m</t>
  </si>
  <si>
    <t>1.2.029</t>
  </si>
  <si>
    <t>svařování , broušení  HZS</t>
  </si>
  <si>
    <t>1.2.030</t>
  </si>
  <si>
    <t>1x základní antikorozní  syntetický,1xkrycí  syntetický nátěr</t>
  </si>
  <si>
    <t>Litinové potrubí</t>
  </si>
  <si>
    <t>1.2.031</t>
  </si>
  <si>
    <t>Litinové potrubí DN 65 odbočka 65/65</t>
  </si>
  <si>
    <t>1.2.032</t>
  </si>
  <si>
    <t>Koleno DN65 /45°</t>
  </si>
  <si>
    <t>1.2.033</t>
  </si>
  <si>
    <t>trubka DN65-500</t>
  </si>
  <si>
    <t>1.2.034</t>
  </si>
  <si>
    <t>trubka DN65-150 volná příruba</t>
  </si>
  <si>
    <t>1.3.</t>
  </si>
  <si>
    <t>Kryt šachty materiál PPR deka 15mm</t>
  </si>
  <si>
    <t>1.3.001</t>
  </si>
  <si>
    <t xml:space="preserve">Atyp svařenec 1240*1130 výroba montáž </t>
  </si>
  <si>
    <t>HZS</t>
  </si>
  <si>
    <t>1.3.002</t>
  </si>
  <si>
    <t>Atyp svařenec1530*1130 výroba a montáž</t>
  </si>
  <si>
    <t>1.3.003</t>
  </si>
  <si>
    <t>Deska 15* 2000*1000</t>
  </si>
  <si>
    <t>1.4.</t>
  </si>
  <si>
    <t>Armatury</t>
  </si>
  <si>
    <t>1.4.001</t>
  </si>
  <si>
    <t>Ventil uzavírací přímý V30 111 616 Dn100 PN10</t>
  </si>
  <si>
    <t>1.4.002</t>
  </si>
  <si>
    <t>Ventil uzavírací přímý V30 111 616 Dn65PN10</t>
  </si>
  <si>
    <t>1.4.003</t>
  </si>
  <si>
    <t>Zpětná klapka přírubová   DN100 PN10</t>
  </si>
  <si>
    <t>1.4.004</t>
  </si>
  <si>
    <t>Zpětná klapka  přírubová   DN65 PN10</t>
  </si>
  <si>
    <t>1.4.005</t>
  </si>
  <si>
    <t>Montáž jímek pro 2 teploměry a  2 tlakoměry dle dispozic  MaR</t>
  </si>
  <si>
    <t>1.4.006</t>
  </si>
  <si>
    <t>Teploměr  1/2"axiální 0-60°C T801 průměr 100mm</t>
  </si>
  <si>
    <t>1.4.007</t>
  </si>
  <si>
    <t>Manometr 1/4" radiální  spodní vývod 0-10 bar průměr 100 mm</t>
  </si>
  <si>
    <t>1.4.008</t>
  </si>
  <si>
    <t>Trojcestný ventil pro připojení  manometrů s kompenzační  smyčkou</t>
  </si>
  <si>
    <t>1.5.001</t>
  </si>
  <si>
    <t>Demontáže stávajícího zařízení  k likvidaci</t>
  </si>
  <si>
    <t>1.5.002</t>
  </si>
  <si>
    <t>odvoz materiálu do 15 km</t>
  </si>
  <si>
    <t>Část 1.</t>
  </si>
  <si>
    <t>PS 01 Strojní část čerpací stanice Kamenné lázně</t>
  </si>
  <si>
    <t>Čerpací jímka Kamenné lázně</t>
  </si>
  <si>
    <t>Zadání položky nutno konzultovat se spol. HENNLICH s.r.o.</t>
  </si>
  <si>
    <t>Jedná se o dodání a instalaci napojení TUV zvýměníku  umístěného ve strojovně tepelných čerpadel do bazénů.</t>
  </si>
  <si>
    <t>Název stavby:</t>
  </si>
  <si>
    <t>Nová přípojka termální vody pro Aquacentrum Teplice</t>
  </si>
  <si>
    <t>Název objektu:</t>
  </si>
  <si>
    <t>Čerpací stanice Kamenné lázně</t>
  </si>
  <si>
    <t>Zkratka objektu:</t>
  </si>
  <si>
    <t>ČS-KL</t>
  </si>
  <si>
    <t>Název dílu:</t>
  </si>
  <si>
    <t>Měření a regulace, elektroinstalace</t>
  </si>
  <si>
    <t>Zkratka dílu:</t>
  </si>
  <si>
    <t>Zpracovatel dílu:</t>
  </si>
  <si>
    <t>Aveo, s.r.o.</t>
  </si>
  <si>
    <t>Čís. pol.</t>
  </si>
  <si>
    <t>Oz.položky</t>
  </si>
  <si>
    <t>Počet měr. jednotek</t>
  </si>
  <si>
    <t>Měrná jednotka</t>
  </si>
  <si>
    <t>Jednotková cena dodávka v Kč</t>
  </si>
  <si>
    <t>Jednotková cena montáž v Kč</t>
  </si>
  <si>
    <t>Celková              cena v Kč</t>
  </si>
  <si>
    <t>Technické specifikace, technické a uživatelské standardy stavby</t>
  </si>
  <si>
    <t>X</t>
  </si>
  <si>
    <t>Rozváděče</t>
  </si>
  <si>
    <t>1.</t>
  </si>
  <si>
    <t>RMH1</t>
  </si>
  <si>
    <t>Skříňový rozvaděč 2000x1000x400, vč. soklu 100mm</t>
  </si>
  <si>
    <t>Skříňový rozváděč s otev. dveřmi, rozměry  2000x1000x400, včetně soklu o výšce 100mm, oceloplechový, lakovaný, IP54, kompletně elektricky vyzbrojený, bez řídícího systému</t>
  </si>
  <si>
    <t>2.</t>
  </si>
  <si>
    <t>RMFM</t>
  </si>
  <si>
    <t>Nástěnný rozvaděč 600x600x250</t>
  </si>
  <si>
    <t>Nástěnný rozváděč s otev. dveřmi, rozměry 600x600x250, oceloplechový, lakovaný, IP54, kompletně elektricky vyzbrojený, včetně odvětrávacích mřízek
určen pro zabudování FM čerpadla MČ1</t>
  </si>
  <si>
    <t>3.</t>
  </si>
  <si>
    <t>RKOMx</t>
  </si>
  <si>
    <t>Rack 10" 6U/280 mm (sklo) šedý</t>
  </si>
  <si>
    <t>Rack 10" 6U/280 mm, šedý, oceloplechový, lakovaný, kompletně vyzbrojený, bez prvků pospaných níže</t>
  </si>
  <si>
    <t>Řídící systém - RMH1</t>
  </si>
  <si>
    <t>CGExx</t>
  </si>
  <si>
    <t>Volně programovatelný regulátor s webserverem</t>
  </si>
  <si>
    <t>volně programovatelný regulátor, plnohodnotně komunikující s datovým a aplikačním serverem Johnson Controls protokolem BACNET IP - Metasys ADS verze 11.x a vyšší, včetně nastavení, adresace, oživení a připojení na komunikační sběrnici. Regulátor obsahuje 18-bodový vstupně výstupních bodů (7UI, 2BI, 2AO, 3BO, 4CO)</t>
  </si>
  <si>
    <t>XPMxx</t>
  </si>
  <si>
    <t>Rozšiřující modul pro připojení I/O bodů, 18 bodový</t>
  </si>
  <si>
    <t>Rozšiřující modul 18-bodový  IOM, 7UI, 2DI, 2AO, 4CO, 3DO, 24 VAC, komunikace BACNET</t>
  </si>
  <si>
    <t>Rozšiřující modul 18-bodový  IOM, 18 DI, 24 VAC, komunikace BACNET</t>
  </si>
  <si>
    <t>4.</t>
  </si>
  <si>
    <t>DLKxxx</t>
  </si>
  <si>
    <t>Displej k regulátoru CGx</t>
  </si>
  <si>
    <t>Displej k regulátoru CGx, LCD displej podsvícený, uživatelsky nastavitelný, chráněný heslem, připojitelný na sběrnici SA, Bacnet SMTP</t>
  </si>
  <si>
    <t>Výzbroj Racků - RKOMx</t>
  </si>
  <si>
    <t>Optická vana 1U, 10'', 8xSC</t>
  </si>
  <si>
    <t>Optická vana 1U, 10'', hl. 250mm, včetně 8ks SC, včetně kazet</t>
  </si>
  <si>
    <t>Router Board CRS106-1C-5S</t>
  </si>
  <si>
    <t>Router 5x SFP, 1x SFP+, 1x Combo, Gbit, včetně RouterOS L5</t>
  </si>
  <si>
    <t>Mikrotik SFP metalický modul, RJ-45</t>
  </si>
  <si>
    <t>Mikrotik SFP optický modul, SM</t>
  </si>
  <si>
    <t>5.</t>
  </si>
  <si>
    <t>Optický patch kabel, 1m</t>
  </si>
  <si>
    <t>Optický patch kabel, SM, 9/125, G.657.1, délka 1m</t>
  </si>
  <si>
    <t>Periferie MaR</t>
  </si>
  <si>
    <t>TT01,02</t>
  </si>
  <si>
    <t>Snímač teploty s jímkou, dodávka, montáž, připojení</t>
  </si>
  <si>
    <t>Měřicí převodník teploty s moaznou jímkou délky 190mm, rozsah -40-120°C, výstupní signál Pt1000, včetně jeho montáže do připraveného návarku (realizaci návarku řeší technologie), a  včetně montážního materiálu potřebného k jeho instalaci, včetně připojení</t>
  </si>
  <si>
    <t>PT01,02</t>
  </si>
  <si>
    <t>Snímač tlaku do potrubí, včetně manometrického zkušebního kohoutu, dodávka, montáž, připojení</t>
  </si>
  <si>
    <t xml:space="preserve">Převodník tlaku, rozsah měření -1 až 8 bar, tlak. připojení 1/4" SAE, vnější závit, výstup 4-20mA, napájení 15 VDC, el. připojení kabel 2 m,  včetně jeho montáže do připraveného návarku (realizaci návarku respektive manometrové smyčky řeší technologie), a včetně montážního materiálu potřebného k jeho instalaci. </t>
  </si>
  <si>
    <t>TT/HT91</t>
  </si>
  <si>
    <t>Kombinovaný prostorový snímač teploty a rel. vlhkosti</t>
  </si>
  <si>
    <t>Prostorový snímač teploty, rozsah -20-80°C, 0-100%rH, výstupní signál 2x0-10V,  napájení 24V AC, IP56, venkvoní provedení, včetně montážního materiálu potřebného k jeho instalaci, včetně připojení</t>
  </si>
  <si>
    <t>LT01</t>
  </si>
  <si>
    <t>Kapacitní hladinoměr, 0-10V, včetně nerezového držáku</t>
  </si>
  <si>
    <t>Kapacitní hladinoměr vč. nerezového držáku a instalace, (24VDC,  0-10V), včetně připojení</t>
  </si>
  <si>
    <t>Vyhodnocovací relé dvou hladin (MIN, MAX)</t>
  </si>
  <si>
    <t>Vyhodnocovací relé dvou hladin (MIN, MAX), vestavěné v rozvaděči</t>
  </si>
  <si>
    <t>6.</t>
  </si>
  <si>
    <t>LAL01, LAH01</t>
  </si>
  <si>
    <t>Hladinová sonda</t>
  </si>
  <si>
    <t>Limitní hladinová sonda (min, max, aspolečná anoda), včetně instalace a připojení</t>
  </si>
  <si>
    <t>7.</t>
  </si>
  <si>
    <t>LAL91</t>
  </si>
  <si>
    <t>Sonda zaplavení pro odb. jímku Beethoven</t>
  </si>
  <si>
    <t>Sonda zaplavení pro odb. jímku Beethoven, včetně instalace a připojení</t>
  </si>
  <si>
    <t>8.</t>
  </si>
  <si>
    <t>V1</t>
  </si>
  <si>
    <r>
      <t xml:space="preserve">Uzav. Klapka ; DN100, vč. elektrického pohonu s kontakty krajních poloch, poruchy (ovl. ON/OFF, 230VAC/24VAC, krytí IP54) - </t>
    </r>
    <r>
      <rPr>
        <b/>
        <sz val="12"/>
        <rFont val="Times New Roman CE"/>
        <charset val="238"/>
      </rPr>
      <t>dodávka technologie, pouze připojení</t>
    </r>
  </si>
  <si>
    <t>Uzav. Klapka ; DN100, vč. elektrického pohonu s kontakty krajních poloch, poruchy (ovl. ON/OFF, 230VAC/24VAC, krytí IP54) - dodávka technologie, pouze připojení</t>
  </si>
  <si>
    <t>9.</t>
  </si>
  <si>
    <t>V2,3</t>
  </si>
  <si>
    <r>
      <t xml:space="preserve">Uzav. Klapka ; DN200, vč. elektrického pohonu s kontakty krajních poloch, poruchy (ovl. ON/OFF, 230VAC/24VAC, krytí IP54) - </t>
    </r>
    <r>
      <rPr>
        <b/>
        <sz val="12"/>
        <rFont val="Times New Roman CE"/>
        <charset val="238"/>
      </rPr>
      <t>dodávka technologie, pouze připojení</t>
    </r>
  </si>
  <si>
    <t>Uzav. Klapka ; DN200, vč. elektrického pohonu s kontakty krajních poloch, poruchy (ovl. ON/OFF, 230VAC/24VAC, krytí IP54) - dodávka technologie, pouze připojení</t>
  </si>
  <si>
    <t>10.</t>
  </si>
  <si>
    <t>HAVTL</t>
  </si>
  <si>
    <t>Ovladač v plastové skříňce - havarijní odstavení</t>
  </si>
  <si>
    <t>Ovladač se signálkou v plastové skříňce, venkovní provedení</t>
  </si>
  <si>
    <t>11.</t>
  </si>
  <si>
    <t>MČ1,2</t>
  </si>
  <si>
    <t>Připojení čerpadel</t>
  </si>
  <si>
    <t>Připojení čerpadel s vlastním kabelem</t>
  </si>
  <si>
    <t>12.</t>
  </si>
  <si>
    <t>FM MČ1</t>
  </si>
  <si>
    <r>
      <t xml:space="preserve">Připojení frekvenčních měničů, </t>
    </r>
    <r>
      <rPr>
        <b/>
        <sz val="12"/>
        <rFont val="Times New Roman"/>
        <family val="1"/>
        <charset val="238"/>
      </rPr>
      <t>dodávka technologie</t>
    </r>
  </si>
  <si>
    <t>Připojení frekvenčních měničů, dodávka technologie</t>
  </si>
  <si>
    <t>13.</t>
  </si>
  <si>
    <t>MF1</t>
  </si>
  <si>
    <r>
      <t xml:space="preserve">AF 800 AQUA GLOBAL + FILTRON 1-10,  </t>
    </r>
    <r>
      <rPr>
        <b/>
        <sz val="12"/>
        <rFont val="Times New Roman"/>
        <family val="1"/>
        <charset val="238"/>
      </rPr>
      <t>pouze připojení napájení, dodávka technologie</t>
    </r>
  </si>
  <si>
    <t>Připojení napájení k filtru hrubých nečistot, přivést a připojit napájení</t>
  </si>
  <si>
    <t>14.</t>
  </si>
  <si>
    <t>QH01</t>
  </si>
  <si>
    <r>
      <t xml:space="preserve">Připojení impulsního výstupu vodoměru, </t>
    </r>
    <r>
      <rPr>
        <b/>
        <sz val="12"/>
        <rFont val="Times New Roman"/>
        <family val="1"/>
        <charset val="238"/>
      </rPr>
      <t>dodávka technologie</t>
    </r>
  </si>
  <si>
    <t>Připojení impulsního výstupu vodoměru, dodávka technologie</t>
  </si>
  <si>
    <t>15.</t>
  </si>
  <si>
    <t>Připojení motorových spotřebičů do 2kW</t>
  </si>
  <si>
    <t>Připojení motorových spotřebičů do 2kW (Ventilátory odvětrání strojovny - stávajicí)</t>
  </si>
  <si>
    <t>Prvky objektové elektroinstalace</t>
  </si>
  <si>
    <t>Kombinace zásuvková ( 3× 230 V 2× 400 V) do strojovny technologie</t>
  </si>
  <si>
    <t>Kombinace zásuvková ( 3× 230 V 2× 400 V), včetně zapojení a instalace</t>
  </si>
  <si>
    <t>Svítidlo přisazené průmyslové, 2trubice LED 2x18W</t>
  </si>
  <si>
    <t>Spínač 1P, nástěnný</t>
  </si>
  <si>
    <t>Spínač 1P, montáž, připojení</t>
  </si>
  <si>
    <t>dvouzásuvka – bílá, nástěnná</t>
  </si>
  <si>
    <t>dvouzásuvka – bílá, montáž připojení</t>
  </si>
  <si>
    <t>SOFTWARE</t>
  </si>
  <si>
    <t>Propojení a parametrizace stávajícího systému MaR s se systémem MaR pro řízení ČS-KL</t>
  </si>
  <si>
    <t>Vypracování uživatelských SW pro regulátory ČS-KL</t>
  </si>
  <si>
    <t>Vizualizace na stávajicí centrální stanici - vypracování dynamických obrazovek</t>
  </si>
  <si>
    <t>Vizualizace - vypracování dynamických obrazovek</t>
  </si>
  <si>
    <t>Vypracování archivů histor. dat a trendů</t>
  </si>
  <si>
    <t>Vypracování archivů alarmových hlášení</t>
  </si>
  <si>
    <t>Vypracování systémových úvodních obrazovek, úprava stávajících přehledových obrazovek - vazby nové technologie na stávajicí technologie</t>
  </si>
  <si>
    <t>Parametrizace stávající technologické ethernetové sítě systému MaR</t>
  </si>
  <si>
    <t>Parametrizace stávající technologické ethernetové sítě systému MaR postavené na routerboardech Mikrotik</t>
  </si>
  <si>
    <t>Kabely a vodiče</t>
  </si>
  <si>
    <t>Kabel J-Y(St)Y 1x2x0,8; dodávka</t>
  </si>
  <si>
    <t>Slaboproudý kabel stíněný, párovaný, twistovaný</t>
  </si>
  <si>
    <t>Kabel J-Y(St)Y 2x2x0,8; dodávka</t>
  </si>
  <si>
    <t>Kabel J-Y(St)Y 4x2x0,8; dodávka</t>
  </si>
  <si>
    <t>Kabel JYTY 4x1; dodávka</t>
  </si>
  <si>
    <t>Kabel CYKY 3x1,5; dodávka</t>
  </si>
  <si>
    <t>Silový kabel 5 žilový, průřez žil 1,5 mm2</t>
  </si>
  <si>
    <t>Kabel CYKY 3x2,5; dodávka</t>
  </si>
  <si>
    <t>Silový kabel 5 žilový, průřez žil 2,5 mm2</t>
  </si>
  <si>
    <t>Kabel CYKY 5x2,5; dodávka</t>
  </si>
  <si>
    <t>Silový kabel 4 žilový, průřez žil 2,5 mm2</t>
  </si>
  <si>
    <t>Kabel UTP cat. 5e; dodávka</t>
  </si>
  <si>
    <t>Kabel UTP cat. 6a</t>
  </si>
  <si>
    <t>kabel TCEPKPFLE 1x4x0,8</t>
  </si>
  <si>
    <t>Slaboproudý kabel stíněný, zemní</t>
  </si>
  <si>
    <t>Kabel CYKY 7x1,5; dodávka</t>
  </si>
  <si>
    <t>Silový kabel 7 žilový, průřez žil 1,5 mm2</t>
  </si>
  <si>
    <t>Montáž kabelů a vodičů</t>
  </si>
  <si>
    <t>Montážní práce a materiál-trubky, žlaby, rošty, přip. armatury atd.</t>
  </si>
  <si>
    <t xml:space="preserve">Elektroinstal.trubka pevná </t>
  </si>
  <si>
    <t>Elektroinstal.trubka ohebná</t>
  </si>
  <si>
    <t>Chránička do země 50mm</t>
  </si>
  <si>
    <t>Kabelový žlab 125/50 vč.víka, nosníků a podpěr</t>
  </si>
  <si>
    <t>Kabelový žlab 62/50 vč.víka, nosníků a podpěr</t>
  </si>
  <si>
    <t>Vodič nn a vn CY 6 mm2 uložený volně</t>
  </si>
  <si>
    <t>Výstražná fólie do výkopu, šířka 300mm</t>
  </si>
  <si>
    <t>Drobný montážní materiál</t>
  </si>
  <si>
    <t>Montáž kabelových tras vč.nosných konstrukcí</t>
  </si>
  <si>
    <t>Pokládka metalického vedení ve výkopu mezi ČS-KL a odbočovací jímkou Beethoven</t>
  </si>
  <si>
    <t>Pokládka metalického vedrení ve výkopu mezi ČS-KL a odbočovací jímkou Beethoven</t>
  </si>
  <si>
    <t>Demontáž stávajícího systému MaR a elektroinstalace, včetně ekologické likvidace</t>
  </si>
  <si>
    <t>Demontáž stávajícího systému MaR a lektroinstalace, včetně ekologické likvidace</t>
  </si>
  <si>
    <t>Optické propojení ČS-KL - AQC TEPLICE</t>
  </si>
  <si>
    <t>Chránička do země pr. 40mm</t>
  </si>
  <si>
    <t>Chránička do země pr. 40mm, husí krk pro zvýšenou ochranu optického vedení v exponovaných místech vedení - např. křížení inženýrských sítí</t>
  </si>
  <si>
    <t>Chránička optického kabelu, HDPE, vn.pr. 25mm, včetně přísluš.</t>
  </si>
  <si>
    <t>Chránička optického kabelu, HDPE, pr. 25mm, provedení pro přímou pokldáku do země, včetně potřebných spojek a koncovek</t>
  </si>
  <si>
    <t>Mikrotrubička 5/3,5 včetně příslušenství</t>
  </si>
  <si>
    <t>Optický kabel 8vl., SM, 9/125, G.657A</t>
  </si>
  <si>
    <t>Optický kabel 8vl., SM, 9/125, HDPE, G.657A1, pr. cca 1,2mm</t>
  </si>
  <si>
    <t>Pokládka ochranné trubky HDPE, včetně průběžného zavíčkovávání</t>
  </si>
  <si>
    <t>Kalibrace trasy před záfukem</t>
  </si>
  <si>
    <t>Zatežení/záfuk MT úsek do 1km</t>
  </si>
  <si>
    <t>Záfuk OK do 8vl. úsek do 1km</t>
  </si>
  <si>
    <t xml:space="preserve">Svaření optického vlákna </t>
  </si>
  <si>
    <t>Měření vlákna vč. protokolu</t>
  </si>
  <si>
    <t>Komunikační WiFi propojení obkektu hydroforu a AQC TCE</t>
  </si>
  <si>
    <t>Mikrotik CubeG-5ac60ad, Wifi bezdrátové pojítko</t>
  </si>
  <si>
    <t>Wifi bezdrátová pojítka 60Ghz, záložní 5GHz, napájení POE, dosah 800m, spotřeba 9W, venkovní provedení</t>
  </si>
  <si>
    <t>Instalace pojítek na střechách objektů, včetně dodávky veškerého potřebného materiálu pro jejich uchycení a prokabelování</t>
  </si>
  <si>
    <t>Oživení Wifi komunikace, včetně parametrizace bezdrátové sítě</t>
  </si>
  <si>
    <t>Kompletace, revize a zkoušky</t>
  </si>
  <si>
    <t>TEST 1:1 kontrola správnosti přenášených signálů, odladění SW s technologií</t>
  </si>
  <si>
    <t>TEST 1:1 kontrola správnosti přenášených signálů</t>
  </si>
  <si>
    <t>Zaškolení obsluhy</t>
  </si>
  <si>
    <t>Revize el. zařízení vč. revizní zprávy pro rozvaděčě</t>
  </si>
  <si>
    <t>Revize el. zařízení vč. revizní zprávy pro rozvaděč</t>
  </si>
  <si>
    <t>Koordinace s ostatními profesemi, inženýrská činnost dodavatele, řízení zakázky</t>
  </si>
  <si>
    <t xml:space="preserve">Vypracování realizační (dílenské) dokumentace </t>
  </si>
  <si>
    <t>Vypracování dokumentace skutečného stavu</t>
  </si>
  <si>
    <t>Administrativa, VRN, doprava</t>
  </si>
  <si>
    <t>Celková nabídková cena bez DPH</t>
  </si>
  <si>
    <t>PS 02-2 Elektro a MaR úprava strojnovny TČ</t>
  </si>
  <si>
    <t>PS 02 Elekro a MaR čerpací stanice Kamenné lázně</t>
  </si>
  <si>
    <t>ÚPRAVA STROJOVNY TČ</t>
  </si>
  <si>
    <t>RUT3 (RTC6)</t>
  </si>
  <si>
    <t>Skříňový rozvaděč 2000x600x400, vč. soklu 100mm - silové pole</t>
  </si>
  <si>
    <r>
      <t xml:space="preserve">Skříňový rozváděč s otev. dveřmi, rozměry  2000x600x400, včetně soklu o výšce 100mm, oceloplechový, lakovaný, IP54, </t>
    </r>
    <r>
      <rPr>
        <b/>
        <sz val="12"/>
        <rFont val="Times New Roman"/>
        <family val="1"/>
        <charset val="238"/>
      </rPr>
      <t>kompletně elektricky vyzbrojený dle výkresové dokumentace</t>
    </r>
    <r>
      <rPr>
        <sz val="12"/>
        <rFont val="Times New Roman"/>
        <family val="1"/>
        <charset val="238"/>
      </rPr>
      <t>, bez řídícího systému</t>
    </r>
  </si>
  <si>
    <t>RUT3</t>
  </si>
  <si>
    <t>Skříňový rozvaděč 2000x600x400, vč. soklu 100mm - pole MAR</t>
  </si>
  <si>
    <t>Skříňový rozváděč s otev. dveřmi, rozměry  2000x600x400, včetně soklu o výšce 100mm, oceloplechový, lakovaný, IP54, kompletně elektricky vyzbrojený, bez řídícího systému</t>
  </si>
  <si>
    <t>RUT1</t>
  </si>
  <si>
    <t>Úprava a dozbrojení stávajícího skříňového rozváděče v rozsahu popsaném v projektové dokumentaci (technická zprává, výkresová dokumentace), včetně materiálu a elektrovýzbroje</t>
  </si>
  <si>
    <r>
      <t xml:space="preserve">Úprava stávajícího skříňového rozváděče v rozsahu popsaném v projektové dokumentaci (technická zprává, výkresová dokumentace), </t>
    </r>
    <r>
      <rPr>
        <b/>
        <sz val="12"/>
        <rFont val="Times New Roman"/>
        <family val="1"/>
        <charset val="238"/>
      </rPr>
      <t>úpravy v zapojení v části nakládání s chladem u TČ2, 4 a 5 a upgradu síťové jednotky NIE2960</t>
    </r>
    <r>
      <rPr>
        <sz val="12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a úpravou v distrubuci chladu</t>
    </r>
  </si>
  <si>
    <t>RTC5</t>
  </si>
  <si>
    <t>Úprava a přezbrojení u stávajícího skříňového rozváděče v rozsahu popsaném v projektové dokumentaci (technická zprává, výkresová dokumentace), včetně materiálu a elektrovýzbroje</t>
  </si>
  <si>
    <r>
      <t xml:space="preserve">Úprava stávajícího skříňového rozváděče v rozsahu popsaném v projektové dokumentaci (technická zprává, výkresová dokumentace), </t>
    </r>
    <r>
      <rPr>
        <b/>
        <sz val="12"/>
        <rFont val="Times New Roman"/>
        <family val="1"/>
        <charset val="238"/>
      </rPr>
      <t>kompletně elektricky vyzbrojený</t>
    </r>
    <r>
      <rPr>
        <sz val="12"/>
        <rFont val="Times New Roman"/>
        <family val="1"/>
        <charset val="238"/>
      </rPr>
      <t xml:space="preserve"> dle výkresové dokumentace, úpravy v zapojení v části napájení podávacích čerpadel chladu</t>
    </r>
  </si>
  <si>
    <t>HR - 2.P.</t>
  </si>
  <si>
    <t>Úprava a dozbrojení u stávajícího skříňového rozváděče v rozsahu popsaném v projektové dokumentaci (technická zprává, výkresová dokumentace), včetně materiálu a elektrovýzbroje</t>
  </si>
  <si>
    <t>Úprava a dozbrojení u stávajícího skříňového rozváděče v rozsahu popsaném v projektové dokumentaci (technická zprává, výkresová dokumentace) - doplnění silového vývodu pro rozvadče RUT3</t>
  </si>
  <si>
    <t>Řídící systém - RUT3</t>
  </si>
  <si>
    <t>SNCxx</t>
  </si>
  <si>
    <t>Síťová jednotka - volně programovatelný regulátor s webserverem</t>
  </si>
  <si>
    <t>Nadřazená síťová řídící jednotka s možností připojení až 50 zařízení na sběrnici FC Bus (BACNET MS/TP), plnohodnotně komunikující s datovým a aplikačním serverem Johnson Controls protokolem BACNET IP - Metasys ADS verze 11.x a vyšší, včetně nastavení, adresace, oživení a připojení na komunikační sběrnici. Jednotka obsahuje 28-bodový DDC regulátor (10UI, 6BI, 4BO, 4CO, 4AO)</t>
  </si>
  <si>
    <t>CGMxx</t>
  </si>
  <si>
    <t>Volně programovatelný regulátor</t>
  </si>
  <si>
    <t>SW06</t>
  </si>
  <si>
    <t>Datový přepínač k displeji</t>
  </si>
  <si>
    <t>Datový přepínač k displeji pro 6ks regulátorů</t>
  </si>
  <si>
    <t>Routerboard - 5× LAN</t>
  </si>
  <si>
    <t>WiFi 2,4 GHz, WiFi 4 (WiFi 802.11 b/g/n), CPU 600 MHz, 5 × LAN 100 Mb/s, 1 × USB, napájení přes adaptér a PoE</t>
  </si>
  <si>
    <t>TCP2RTU převodník</t>
  </si>
  <si>
    <t>TCP2RTU: Převodník MODBUS TCP na RTU/ASCII - inrtegrace tepelného čerpadla a systému dávkování bazénové technologie</t>
  </si>
  <si>
    <t>Řídící systém - doplnění RUT1</t>
  </si>
  <si>
    <t>IOMxx</t>
  </si>
  <si>
    <t>Rozšiřující modul pro připojení I/O bodů, 6 bodový</t>
  </si>
  <si>
    <t>Rozšiřující modul 6-bodový  IOM, 2UO, 2CO, 2DO, 24 VAC, komunikace BACNET</t>
  </si>
  <si>
    <t>Výzbroj - doplnění HR - 2.pole</t>
  </si>
  <si>
    <t>Výkonový jistič 3-pólový pevné provedení do 200A, včetně krytů vývodů a kabelových ok</t>
  </si>
  <si>
    <t>Periferie MaR - TČ6</t>
  </si>
  <si>
    <t>TT01-TT04</t>
  </si>
  <si>
    <t>Měřicí převodník teploty s mosaznou jímkou délky 190mm, rozsah -40-120°C, výstupní signál Pt1000, včetně jeho montáže do připraveného návarku (realizaci návarku řeší technologie), a  včetně montážního materiálu potřebného k jeho instalaci, včetně připojení</t>
  </si>
  <si>
    <t>PT01</t>
  </si>
  <si>
    <t xml:space="preserve">Převodník tlaku, rozsah měření -1 až 8 bar, tlak. připojení 1/4" SAE, vnější závit, výstup 0-10V, napájení 15 VDC, el. připojení kabel 2 m,  včetně jeho montáže do připraveného návarku (realizaci návarku respektive manometrové smyčky řeší technologie), a včetně montážního materiálu potřebného k jeho instalaci. </t>
  </si>
  <si>
    <t>Y01</t>
  </si>
  <si>
    <r>
      <t xml:space="preserve">Regulační ventil ; DN40, vč. elektrického pohonu (ovl. 0-10V, 230VAC, krytí IP54) - </t>
    </r>
    <r>
      <rPr>
        <b/>
        <sz val="12"/>
        <rFont val="Times New Roman CE"/>
        <charset val="238"/>
      </rPr>
      <t>dodávka technologie, pouze připojení</t>
    </r>
  </si>
  <si>
    <t>Regulační ventil ; DN40, vč. elektrického pohonu (ovl. ON/OFF, 230VAC, krytí IP54) - dodávka technologie, pouze připojení</t>
  </si>
  <si>
    <t>Y02</t>
  </si>
  <si>
    <r>
      <t xml:space="preserve">3cestný kulový kohout; DN65, vč. elektrického pohonu (ovl. 3bodové, 230VAC, krytí IP54) - </t>
    </r>
    <r>
      <rPr>
        <b/>
        <sz val="12"/>
        <rFont val="Times New Roman CE"/>
        <charset val="238"/>
      </rPr>
      <t>dodávka technologie, pouze připojení</t>
    </r>
  </si>
  <si>
    <t>3cestný kulový kohout; DN65, vč. elektrického pohonu (ovl. 3bodové, 230VAC, krytí IP54) - dodávka technologie, pouze připojení</t>
  </si>
  <si>
    <t>Y03</t>
  </si>
  <si>
    <r>
      <t xml:space="preserve">kulový kohout; DN65, vč. elektrického pohonu (ovl. 2bodové, 230VAC, krytí IP54) - </t>
    </r>
    <r>
      <rPr>
        <b/>
        <sz val="12"/>
        <rFont val="Times New Roman CE"/>
        <charset val="238"/>
      </rPr>
      <t>dodávka technologie, pouze připojení</t>
    </r>
  </si>
  <si>
    <t>kulový kohout; DN65, vč. elektrického pohonu (ovl. 2bodové, 230VAC, krytí IP54) - dodávka technologie, pouze připojení</t>
  </si>
  <si>
    <t>Y201,Y202,Y205,Y206</t>
  </si>
  <si>
    <r>
      <t xml:space="preserve">Klapka mezipřírubová DN 100, vč. elektrického pohonu (ovl. 2bodové, 230VAC, krytí IP54) - </t>
    </r>
    <r>
      <rPr>
        <b/>
        <sz val="12"/>
        <rFont val="Times New Roman CE"/>
        <charset val="238"/>
      </rPr>
      <t>dodávka technologie, pouze připojení</t>
    </r>
  </si>
  <si>
    <t>Klapka mezipřírubová DN 100, vč. elektrického pohonu (ovl. 2bodové, 230VAC, krytí IP54) - dodávka technologie, pouze připojení</t>
  </si>
  <si>
    <t>Č61-Č63</t>
  </si>
  <si>
    <t>Připojení čerpadel nad 1kW</t>
  </si>
  <si>
    <t>Periferie MaR - TČ5</t>
  </si>
  <si>
    <t>Y205,Y206</t>
  </si>
  <si>
    <t>Periferie MaR - doplnění ohřevu rekreačního bazénu</t>
  </si>
  <si>
    <t>TT05-TT07</t>
  </si>
  <si>
    <t>Měřicí převodník teploty s nerezovou jímkou délky 190mm, rozsah -40-120°C, výstupní signál Pt1000, včetně jeho montáže do připraveného návarku (realizaci návarku řeší technologie), a  včetně montážního materiálu potřebného k jeho instalaci, včetně připojení</t>
  </si>
  <si>
    <t>Periferie MaR - doplnění tepelného hospodářství</t>
  </si>
  <si>
    <t>TT212</t>
  </si>
  <si>
    <t>Měřicí převodník teploty s mosaznou jímkou délky 138mm, rozsah -40-120°C, výstupní signál Pt1000, včetně jeho montáže do připraveného návarku (realizaci návarku řeší technologie), a  včetně montážního materiálu potřebného k jeho instalaci, včetně připojení</t>
  </si>
  <si>
    <t>Č63, Č64</t>
  </si>
  <si>
    <r>
      <t xml:space="preserve">Připojení čerpadel nad 0,5kW, </t>
    </r>
    <r>
      <rPr>
        <b/>
        <sz val="12"/>
        <rFont val="Times New Roman"/>
        <family val="1"/>
        <charset val="238"/>
      </rPr>
      <t>dodávka technologie</t>
    </r>
  </si>
  <si>
    <t>Připojení čerpadel nad 0,5kW</t>
  </si>
  <si>
    <t>FM63, FM64</t>
  </si>
  <si>
    <r>
      <t xml:space="preserve">Připojení frekvenčích měničů čerpadel Č63, Č64, </t>
    </r>
    <r>
      <rPr>
        <b/>
        <sz val="12"/>
        <rFont val="Times New Roman"/>
        <family val="1"/>
        <charset val="238"/>
      </rPr>
      <t>dodávka technologie</t>
    </r>
  </si>
  <si>
    <t>Připojení frekvennčích měničů čerpadel Č63, Č64</t>
  </si>
  <si>
    <t>Periferie MaR - doplnění UT - pro okruhy termální vody</t>
  </si>
  <si>
    <t>TT602</t>
  </si>
  <si>
    <t>Snímač teploty ponorný, vč. mechanizmu pro uchycení snímače dodávka, montáž, připojení</t>
  </si>
  <si>
    <t>Měřicí převodník teploty ponorný, rozsah -40-120°C, výstupní signál Pt1000, včetně jeho montáže do připraveného návarku (realizaci návarku řeší technologie), a  včetně montážního materiálu potřebného k jeho instalaci, včetně připojení</t>
  </si>
  <si>
    <t>TT603, TT604</t>
  </si>
  <si>
    <t>LAH602</t>
  </si>
  <si>
    <t>Plováčkový hladinový spínač pro jímku odpadní vody, vč. mechanizmu pro uchycení sondy</t>
  </si>
  <si>
    <t>Plováčkový hladinový spínač pro jímku odpadní vody, včetně instalace a připojení</t>
  </si>
  <si>
    <t>Y601</t>
  </si>
  <si>
    <r>
      <t xml:space="preserve">3cestný kulový kohout; DNxx, vč. elektrického pohonu (ovl. 2bodové, 230VAC, krytí IP54) - </t>
    </r>
    <r>
      <rPr>
        <b/>
        <sz val="12"/>
        <rFont val="Times New Roman CE"/>
        <charset val="238"/>
      </rPr>
      <t>dodávka technologie, pouze připojení</t>
    </r>
  </si>
  <si>
    <t>3cestný kulový kohout; DNxx, vč. elektrického pohonu (ovl. 2bodové, 230VAC, krytí IP54) - dodávka technologie, pouze připojení</t>
  </si>
  <si>
    <t>M603, M604</t>
  </si>
  <si>
    <t>Propojení a parametrizace stávajícího systému MaR s se systémem MaR v rozvaděči RUT3</t>
  </si>
  <si>
    <t>Vypracování uživatelských SW DDC pro řízení tepelného čerpadla TČ6</t>
  </si>
  <si>
    <t>Vypracování uživatelských SW pro řízení tepelného čerpadla TČ6</t>
  </si>
  <si>
    <t>Vypracování uživatelských SW DDC pro doplňkové funkce</t>
  </si>
  <si>
    <t>Vypracování uživatelských SW pro doplňkové funkce (míchání akumulačních nádob TV, monitorování odpadních jímek, přepouštění špinavé termy, odpouštění čisté termy)</t>
  </si>
  <si>
    <t>Plnohodnotná datová integrace TČ6 a přesun ostatních datových integraci tepelných čerpadel na novou síťovou jednotku SNCxx v rozvaděči RUT3</t>
  </si>
  <si>
    <t>Přepracování uživatelského SW DDC pro řízení TČ2, 4 a 5 v souvislosti s úpravou na ventilech přepínání chladu Y02</t>
  </si>
  <si>
    <t>Přepracování uživatelského SW pro řízení TČ2, 4 a 5 v souvislosti s úpravou na ventilech přepínání chladu Y02</t>
  </si>
  <si>
    <t>Přepracování uživatelského SW DDC pro řízení TČ5 v spouvislosti doplnění funkce pro přepínání odběru tepla, řízení ventilů Y205, Y206</t>
  </si>
  <si>
    <t>Přepracování uživatelského SW pro řízení TČ5 v spouvislosti doplnění funkce pro přepínání odběru tepla, řízení ventilů Y205, Y206</t>
  </si>
  <si>
    <t>Přepracování uživatelského SW (SW PRO DDC regulátory) pro část tepelného hospodářství v souvislosti s přenosem části regulace z jednotky NIE2960 na jednotku CGMxx</t>
  </si>
  <si>
    <t>Vypracování nadstavbového SW pro řízení přepínání TČ do sekundárních odběrů tepla a jejich případné "kaskádování"</t>
  </si>
  <si>
    <t>Vypracování nadstavbouvého SW pro řízení přepínání TČ do sekundárních odběrů tepla a jejich případné "kaskádování"</t>
  </si>
  <si>
    <t>Přesun kompletního softwaru ze síťové jednotky NIE2960 na nově dodávanou SNCxx v rozvaděči RUT3</t>
  </si>
  <si>
    <t>Přesun kompletního softwaru ze síťové jednotky NIE2960 na nově dodávanou SNCxx v rozvaděči RUT3 (kompletní události, historická data, časové plány, integrace, objekty interlocků a další)</t>
  </si>
  <si>
    <t>Vizualizace na stávajicí centrální stanici, práce na COP, vypracování dynamických obrazovek</t>
  </si>
  <si>
    <t>Kabel CYKY 4x1,5; dodávka</t>
  </si>
  <si>
    <t>Silový kabel 4 žilový, průřez žil 1,5 mm2</t>
  </si>
  <si>
    <t>Kabel CYKY 4x2,5; dodávka</t>
  </si>
  <si>
    <t>Kabel CYKY 4x25; dodávka</t>
  </si>
  <si>
    <t>Silový kabel 4 žilový, průřez žil 25 mm2</t>
  </si>
  <si>
    <t>Kabel CYKY 3x95+70; dodávka</t>
  </si>
  <si>
    <t>Silový kabel 4 žilový, průřez žil 90 mm2</t>
  </si>
  <si>
    <t>Kabel UTP cat. 6a; dodávka</t>
  </si>
  <si>
    <t>Přesun COP do serverovny a doplnění PC pro operátorské pracoviště</t>
  </si>
  <si>
    <t>Přesun COP - PC s instalovaným datovým a aplikačním serverem a UPS do serverové místnosti</t>
  </si>
  <si>
    <t>PC pro operátorské stanovistě - stávající velín, včetně instalace</t>
  </si>
  <si>
    <t>Příklad vhodné konfigurace PC: Stolní PC Mini Tower, Procesor Intel® Core™ i5, Operační systém Windows 10 Pro (64bitový), Paměť RAM 16GB, jeden pevný disky 500 GB, USB klávesnice, optická myš USB, 23 palcový monitoru</t>
  </si>
  <si>
    <t>Datová integrace TČ6 - rozšíření komunikačnéí linky o TČ6</t>
  </si>
  <si>
    <t>Doplnění komunikační sběrnice pro datovou integraci tepelných čerpadel o linku k TČ6</t>
  </si>
  <si>
    <t>Jímka použité termální vody - studená</t>
  </si>
  <si>
    <t>Realizace střídání čerpadel, dle teploty vody v jímce a čerpání v závislosti na hladině - montážní práce, materiál, SW</t>
  </si>
  <si>
    <t>SO 02 - OTV, ČTV do ATS a odpadní voda z AQC</t>
  </si>
  <si>
    <t>SO 01 - OTV z LDB do ČS</t>
  </si>
  <si>
    <t>NOVÁ PŘÍPOJKA TERMÁLNÍ VODY PRO AQUACENTRUM TEPLICE</t>
  </si>
  <si>
    <t>Doba výstavby:</t>
  </si>
  <si>
    <t xml:space="preserve"> </t>
  </si>
  <si>
    <t>AQUACENTRUM p.o., TEPLICE</t>
  </si>
  <si>
    <t>Druh stavby:</t>
  </si>
  <si>
    <t>Začátek výstavby:</t>
  </si>
  <si>
    <t>CHEMINVEST</t>
  </si>
  <si>
    <t>Lokalita:</t>
  </si>
  <si>
    <t>AQUACENTRUM TEPLICE</t>
  </si>
  <si>
    <t>Konec výstavby:</t>
  </si>
  <si>
    <t> </t>
  </si>
  <si>
    <t>JKSO:</t>
  </si>
  <si>
    <t>Zpracováno dne:</t>
  </si>
  <si>
    <t>Zpracoval:</t>
  </si>
  <si>
    <t>Kamila Možná</t>
  </si>
  <si>
    <t>Č</t>
  </si>
  <si>
    <t>Kód</t>
  </si>
  <si>
    <t>Zkrácený popis</t>
  </si>
  <si>
    <t>MJ</t>
  </si>
  <si>
    <t>Množství</t>
  </si>
  <si>
    <t>Cena/MJ</t>
  </si>
  <si>
    <t>Náklady (Kč)</t>
  </si>
  <si>
    <t>Cenová</t>
  </si>
  <si>
    <t>ISWORK</t>
  </si>
  <si>
    <t>GROUPCODE</t>
  </si>
  <si>
    <t>Rozměry</t>
  </si>
  <si>
    <t>(Kč)</t>
  </si>
  <si>
    <t>Dodávka</t>
  </si>
  <si>
    <t>Montáž</t>
  </si>
  <si>
    <t>Celkem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</si>
  <si>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</si>
  <si>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</si>
  <si>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</si>
  <si>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</si>
  <si>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</si>
  <si>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</si>
  <si>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</si>
  <si>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</si>
  <si>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</si>
  <si>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</si>
  <si>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</si>
  <si>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</si>
  <si>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</si>
  <si>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</si>
  <si>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0</t>
  </si>
  <si>
    <t>Všeobecné konstrukce a práce</t>
  </si>
  <si>
    <t>1</t>
  </si>
  <si>
    <t>001111111VD</t>
  </si>
  <si>
    <t>Vytýčení a vyznačení sítí včetně dozoru správců sítí</t>
  </si>
  <si>
    <t>kompl</t>
  </si>
  <si>
    <t>0_</t>
  </si>
  <si>
    <t>_</t>
  </si>
  <si>
    <t>1;Vytýčení a vyznačení sítí včetně dozoru správců sítí;</t>
  </si>
  <si>
    <t>11</t>
  </si>
  <si>
    <t>Přípravné a přidružené práce</t>
  </si>
  <si>
    <t>2</t>
  </si>
  <si>
    <t>119001421R00</t>
  </si>
  <si>
    <t>Dočasné zajištění kabelů - do počtu 3 kabelů</t>
  </si>
  <si>
    <t>11_</t>
  </si>
  <si>
    <t>1_</t>
  </si>
  <si>
    <t>3</t>
  </si>
  <si>
    <t>119001412R00</t>
  </si>
  <si>
    <t>Dočasné zajištění beton.a plast.potrubí DN 200-500</t>
  </si>
  <si>
    <t>4</t>
  </si>
  <si>
    <t>113106231R00</t>
  </si>
  <si>
    <t>Rozebrání dlažeb ze zámkové dlažby v kamenivu</t>
  </si>
  <si>
    <t>šířka výkopu 1m</t>
  </si>
  <si>
    <t>šířka výkopu 1,73m</t>
  </si>
  <si>
    <t>5</t>
  </si>
  <si>
    <t>0;šířka výkopu 1,35m;</t>
  </si>
  <si>
    <t>6</t>
  </si>
  <si>
    <t>113108305R00</t>
  </si>
  <si>
    <t>Odstranění asfaltové vrstvy chodníku pl.do 50 m2, tl. 5 cm</t>
  </si>
  <si>
    <t>šířka výkopu 1,35m</t>
  </si>
  <si>
    <t>7</t>
  </si>
  <si>
    <t>113107510R00</t>
  </si>
  <si>
    <t>Odstranění podkladu chodníku pl. 50 m2,kam.drcené tl.10 cm</t>
  </si>
  <si>
    <t>13</t>
  </si>
  <si>
    <t>Hloubené vykopávky</t>
  </si>
  <si>
    <t>8</t>
  </si>
  <si>
    <t>131301201R00</t>
  </si>
  <si>
    <t>Hloubení zapažených jam v hor.4 do 100 m3</t>
  </si>
  <si>
    <t>m3</t>
  </si>
  <si>
    <t>13_</t>
  </si>
  <si>
    <t>3*3*1,85;výkop pro šachtu;</t>
  </si>
  <si>
    <t>9</t>
  </si>
  <si>
    <t>131301209R00</t>
  </si>
  <si>
    <t>Příplatek za lepivost - hloubení zapaž.jam v hor.4</t>
  </si>
  <si>
    <t>16,65*0,2;příplatek 20%;</t>
  </si>
  <si>
    <t>10</t>
  </si>
  <si>
    <t>132200112RA0</t>
  </si>
  <si>
    <t>Hloubení zapaž.rýh šířky.do 200 cm v hornině.1-4</t>
  </si>
  <si>
    <t>modrá+fialová+hnědá od L9 do KÚ, odpočet 5m</t>
  </si>
  <si>
    <t>132301219R00</t>
  </si>
  <si>
    <t>Přípl.za lepivost,hloubení rýh 200cm,hor.4,STROJNĚ</t>
  </si>
  <si>
    <t>12</t>
  </si>
  <si>
    <t>132303323R00</t>
  </si>
  <si>
    <t>Hloubení rýh pro drény, hloubky do 2,0 m, v hor.4</t>
  </si>
  <si>
    <t>261,20;hnědá ZÚ-L9;</t>
  </si>
  <si>
    <t>15</t>
  </si>
  <si>
    <t>Roubení</t>
  </si>
  <si>
    <t>151811512R00</t>
  </si>
  <si>
    <t>Montáž lehkého pažicího boxu dl.3m, š.3m, hl.1,95m</t>
  </si>
  <si>
    <t>15_</t>
  </si>
  <si>
    <t>14</t>
  </si>
  <si>
    <t>151813512R00</t>
  </si>
  <si>
    <t>Dmtž lehkého pažicího boxu dl.3m, š.3m, hl.1,95m</t>
  </si>
  <si>
    <t>151812512R00</t>
  </si>
  <si>
    <t>Pronájem lehkého pažic.boxu dl.3m, š.3m, hl.1,95m</t>
  </si>
  <si>
    <t>den</t>
  </si>
  <si>
    <t>16</t>
  </si>
  <si>
    <t>151101101R00</t>
  </si>
  <si>
    <t>Pažení a rozepření stěn rýh - příložné - hl.do 2 m</t>
  </si>
  <si>
    <t>261,20*1,45*2;hnědá ZÚ-L9;</t>
  </si>
  <si>
    <t>17</t>
  </si>
  <si>
    <t>151101111R00</t>
  </si>
  <si>
    <t>Odstranění pažení stěn rýh - příložné - hl. do 2 m</t>
  </si>
  <si>
    <t>Přemístění výkopku</t>
  </si>
  <si>
    <t>18</t>
  </si>
  <si>
    <t>161101102R00</t>
  </si>
  <si>
    <t>Svislé přemístění výkopku z hor.1-4 do 4,0 m - jáma</t>
  </si>
  <si>
    <t>16_</t>
  </si>
  <si>
    <t>16,65;viz hloubení zapaž. jam;</t>
  </si>
  <si>
    <t>19</t>
  </si>
  <si>
    <t>161101101R00</t>
  </si>
  <si>
    <t>Svislé přemístění výkopku z hor.1-4 do 2,5 m - rýha</t>
  </si>
  <si>
    <t>20</t>
  </si>
  <si>
    <t>167101102R00</t>
  </si>
  <si>
    <t>Nakládání výkopku z hor. 1 ÷ 4 v množství nad 100 m3 - odvoz na mezideponii</t>
  </si>
  <si>
    <t>14,89275;pro zásyp jámy;</t>
  </si>
  <si>
    <t>21</t>
  </si>
  <si>
    <t>162301101R00</t>
  </si>
  <si>
    <t>Vodorovné přemístění výkopku z hor.1-4 do 500 m - na mezideponii</t>
  </si>
  <si>
    <t>22</t>
  </si>
  <si>
    <t>Nakládání výkopku z hor. 1 ÷ 4 v množství nad 100 m3 - odvoz z mezideponie</t>
  </si>
  <si>
    <t>14,89285;pro zásyp jámy;</t>
  </si>
  <si>
    <t>23</t>
  </si>
  <si>
    <t>Vodorovné přemístění výkopku z hor.1-4 do 500 m - z mezideponie</t>
  </si>
  <si>
    <t>24</t>
  </si>
  <si>
    <t>Nakládání výkopku z hor. 1 ÷ 4 v množství nad 100 m3 - odvoz na skládku</t>
  </si>
  <si>
    <t>-14,89275;viz zásyp šachty;</t>
  </si>
  <si>
    <t>25</t>
  </si>
  <si>
    <t>162301102R00</t>
  </si>
  <si>
    <t>Vodorovné přemístění výkopku z hor.1-4 do 1000 m</t>
  </si>
  <si>
    <t>26</t>
  </si>
  <si>
    <t>162701109R00</t>
  </si>
  <si>
    <t>Příplatek k vod. přemístění hor.1-4 za další 1 km</t>
  </si>
  <si>
    <t>Konstrukce ze zemin</t>
  </si>
  <si>
    <t>27</t>
  </si>
  <si>
    <t>174101101R00</t>
  </si>
  <si>
    <t>Zásyp šachty se zhutněním</t>
  </si>
  <si>
    <t>17_</t>
  </si>
  <si>
    <t>16,65;viz svislé přemístění;</t>
  </si>
  <si>
    <t>-0,18;viz podkladová vrstva ze štěrkopísku;</t>
  </si>
  <si>
    <t>-0,125;viz podkladová základová deska;</t>
  </si>
  <si>
    <t>-3,14*1*1/4*1,85;šachta;</t>
  </si>
  <si>
    <t>28</t>
  </si>
  <si>
    <t>175100020RAD</t>
  </si>
  <si>
    <t>Obsyp potrubí štěrkopískem</t>
  </si>
  <si>
    <t>261,20*1*(0,306+0,3);hnědá ZÚ-L9;</t>
  </si>
  <si>
    <t>-3,14*0,306*0,306/4*261,2;odpočet potrubí;</t>
  </si>
  <si>
    <t>33*1*(0,14+0,3);fialová ZÚ-L9;</t>
  </si>
  <si>
    <t>-3,14*0,14*0,14/4*33;odpočet potrubí;</t>
  </si>
  <si>
    <t>;odpočet potrubí;</t>
  </si>
  <si>
    <t>29</t>
  </si>
  <si>
    <t>Zásyp rýh se zhutněním</t>
  </si>
  <si>
    <t>30</t>
  </si>
  <si>
    <t>171201201R00</t>
  </si>
  <si>
    <t>Uložení sypaniny na mezideponii</t>
  </si>
  <si>
    <t>31</t>
  </si>
  <si>
    <t>Uložení sypaniny na skl.-sypanina na výšku přes 2m</t>
  </si>
  <si>
    <t>32</t>
  </si>
  <si>
    <t>199000002R00</t>
  </si>
  <si>
    <t>Poplatek za skládku horniny 1- 4, č. dle katal. odpadů 17 05 04</t>
  </si>
  <si>
    <t>Úprava podloží a základové spáry</t>
  </si>
  <si>
    <t>33</t>
  </si>
  <si>
    <t>212572111R00</t>
  </si>
  <si>
    <t>Lože trativodu ze štěrkopísku tříděného</t>
  </si>
  <si>
    <t>21_</t>
  </si>
  <si>
    <t>2_</t>
  </si>
  <si>
    <t>Základy</t>
  </si>
  <si>
    <t>34</t>
  </si>
  <si>
    <t>273313611R00</t>
  </si>
  <si>
    <t>Beton základových desek prostý C 16/20</t>
  </si>
  <si>
    <t>27_</t>
  </si>
  <si>
    <t>1,5*1,5*0,05;podkladní beton;</t>
  </si>
  <si>
    <t>35</t>
  </si>
  <si>
    <t>273351215R00</t>
  </si>
  <si>
    <t>Bednění stěn základových desek - zřízení</t>
  </si>
  <si>
    <t>1,5*4*0,05;podkladní deska;</t>
  </si>
  <si>
    <t>36</t>
  </si>
  <si>
    <t>273351216R00</t>
  </si>
  <si>
    <t>Bednění stěn základových desek - odstranění</t>
  </si>
  <si>
    <t>0,3;viz zřízení;</t>
  </si>
  <si>
    <t>343</t>
  </si>
  <si>
    <t>Průchodka</t>
  </si>
  <si>
    <t>37</t>
  </si>
  <si>
    <t>343111100VD</t>
  </si>
  <si>
    <t>Instalace průchodky vnější stěny včetně jádrového vrtání</t>
  </si>
  <si>
    <t>343_</t>
  </si>
  <si>
    <t>3_</t>
  </si>
  <si>
    <t>1;ČŠ;</t>
  </si>
  <si>
    <t>2;Kamenné lázně;</t>
  </si>
  <si>
    <t>2+3;Aquacentrum;</t>
  </si>
  <si>
    <t>45</t>
  </si>
  <si>
    <t>Podkladní a vedlejší konstrukce (kromě vozovek a železničního svršku)</t>
  </si>
  <si>
    <t>38</t>
  </si>
  <si>
    <t>451572111R00</t>
  </si>
  <si>
    <t>Lože pod potrubí z písku</t>
  </si>
  <si>
    <t>45_</t>
  </si>
  <si>
    <t>4_</t>
  </si>
  <si>
    <t>261,20*1*0,15;hnědá ZÚ-L9;</t>
  </si>
  <si>
    <t>39</t>
  </si>
  <si>
    <t>460300006R00</t>
  </si>
  <si>
    <t>Hutnění lože</t>
  </si>
  <si>
    <t>56</t>
  </si>
  <si>
    <t>Podkladní vrstvy komunikací, letišť a ploch</t>
  </si>
  <si>
    <t>40</t>
  </si>
  <si>
    <t>564861111R00</t>
  </si>
  <si>
    <t>Podklad ze štěrkodrti po zhutnění tloušťky 20 cm</t>
  </si>
  <si>
    <t>5_</t>
  </si>
  <si>
    <t>41</t>
  </si>
  <si>
    <t>564851111R00</t>
  </si>
  <si>
    <t>Podklad ze štěrkodrti po zhutnění tloušťky 15 cm - komunikace</t>
  </si>
  <si>
    <t>42</t>
  </si>
  <si>
    <t>565131111R00</t>
  </si>
  <si>
    <t>Podklad z obal kamen. ACP 16+, š. do 3 m, tl. 5 cm</t>
  </si>
  <si>
    <t>43</t>
  </si>
  <si>
    <t>Podklad ze štěrkodrti po zhutnění tloušťky 15 cm - zámková dlažba</t>
  </si>
  <si>
    <t>57</t>
  </si>
  <si>
    <t>Kryty pozemních komunikací, letišť a ploch z kameniva nebo živičné</t>
  </si>
  <si>
    <t>44</t>
  </si>
  <si>
    <t>573111121R00</t>
  </si>
  <si>
    <t>Postřik infiltrační, množství zbytkového asfaltového pojiva 0,60 kg/m2</t>
  </si>
  <si>
    <t>573231143R00</t>
  </si>
  <si>
    <t>Postřik spojovací z KAE modifikované, množství zbytkového asfaltu 0,3 kg/m2</t>
  </si>
  <si>
    <t>46</t>
  </si>
  <si>
    <t>577132111R00</t>
  </si>
  <si>
    <t>Beton asfalt. ACO 11+ obrusný, š.nad 3 m, tl. 4 cm</t>
  </si>
  <si>
    <t>47</t>
  </si>
  <si>
    <t>578100010RA0</t>
  </si>
  <si>
    <t>Chodník z litého asfaltu</t>
  </si>
  <si>
    <t>59</t>
  </si>
  <si>
    <t>Kryty pozemních komunikací, letišť a ploch dlážděných (předlažby)</t>
  </si>
  <si>
    <t>48</t>
  </si>
  <si>
    <t>596215021R00</t>
  </si>
  <si>
    <t>Kladení zámkové dlažby tl. 6 cm do drtě tl. 4 cm</t>
  </si>
  <si>
    <t>59_</t>
  </si>
  <si>
    <t>722</t>
  </si>
  <si>
    <t>Vnitřní vodovod</t>
  </si>
  <si>
    <t>49</t>
  </si>
  <si>
    <t>722174240R00</t>
  </si>
  <si>
    <t>Montáž plastového vodovodního potrubí, D 200mm</t>
  </si>
  <si>
    <t>21,11;hnědá;</t>
  </si>
  <si>
    <t>13,5;izometrie;</t>
  </si>
  <si>
    <t>50</t>
  </si>
  <si>
    <t>286231161VD</t>
  </si>
  <si>
    <t>Trubka HDPE SDR17 PN10 200x11,9mm bez izolace</t>
  </si>
  <si>
    <t>dodávka včetně příslušenství</t>
  </si>
  <si>
    <t>51</t>
  </si>
  <si>
    <t>286110012VD</t>
  </si>
  <si>
    <t>Kluzné objímky DISA-RASI</t>
  </si>
  <si>
    <t>1;hnědá;</t>
  </si>
  <si>
    <t>52</t>
  </si>
  <si>
    <t>899912113R00</t>
  </si>
  <si>
    <t>Ocelové objímky z pás. oceli, DN 200</t>
  </si>
  <si>
    <t>7;izometrie;</t>
  </si>
  <si>
    <t>767</t>
  </si>
  <si>
    <t>Konstrukce doplňkové stavební (zámečnické)</t>
  </si>
  <si>
    <t>53</t>
  </si>
  <si>
    <t>767_</t>
  </si>
  <si>
    <t>76_</t>
  </si>
  <si>
    <t>85</t>
  </si>
  <si>
    <t>Tvarovky</t>
  </si>
  <si>
    <t>54</t>
  </si>
  <si>
    <t>857601101R00</t>
  </si>
  <si>
    <t>Montáž tvarovek DN 80</t>
  </si>
  <si>
    <t>85_</t>
  </si>
  <si>
    <t>8_</t>
  </si>
  <si>
    <t>2;FF KUS 8500 L=dle měření DN50 PN16 HAWLE;</t>
  </si>
  <si>
    <t>55</t>
  </si>
  <si>
    <t>286231147VD</t>
  </si>
  <si>
    <t>Lemový nákružek A WAVIN SDR11 PE100 D63 PN10/16</t>
  </si>
  <si>
    <t>286231148VD</t>
  </si>
  <si>
    <t>Příruba PP-OCEL WAVIN D63 PN16</t>
  </si>
  <si>
    <t>286231149VD</t>
  </si>
  <si>
    <t>PP 90st. 5049 DN50 PN16 HAWLE</t>
  </si>
  <si>
    <t>58</t>
  </si>
  <si>
    <t>286221227VD</t>
  </si>
  <si>
    <t>Poklop hydrantový 1950 podzemní KASI</t>
  </si>
  <si>
    <t>286231150VD</t>
  </si>
  <si>
    <t>D810 DN50 2m PN16 HAWLE</t>
  </si>
  <si>
    <t>60</t>
  </si>
  <si>
    <t>286231153VD</t>
  </si>
  <si>
    <t>FF KUS 8500 L=dle měření DN50 PN16 HAWLE</t>
  </si>
  <si>
    <t>2;VŠ;</t>
  </si>
  <si>
    <t>61</t>
  </si>
  <si>
    <t>857601102RT1</t>
  </si>
  <si>
    <t>Montáž tvarovek DN 100</t>
  </si>
  <si>
    <t>2;FFR KUS 8550 DN100/50 PN16 HAWLE;</t>
  </si>
  <si>
    <t>1;PŘ. ISO 5500 DN100/D110 PN16 HAWLE;</t>
  </si>
  <si>
    <t>1;T KUS 8510 DN100/100 PN16 HAWLE;</t>
  </si>
  <si>
    <t>1;T KUS 8510 DN100/80 PN16 HAWLE;</t>
  </si>
  <si>
    <t>62</t>
  </si>
  <si>
    <t>286231151VD</t>
  </si>
  <si>
    <t>Redukce WAVIN SDR17 PE100 D90/63 PN5/10</t>
  </si>
  <si>
    <t>63</t>
  </si>
  <si>
    <t>286231154VD</t>
  </si>
  <si>
    <t>FFR KUS 8550 DN100/50 PN16 HAWLE</t>
  </si>
  <si>
    <t>64</t>
  </si>
  <si>
    <t>286231155VD</t>
  </si>
  <si>
    <t>PŘ. ISO 5500 DN100/D110 PN16 HAWLE</t>
  </si>
  <si>
    <t>1;VŠ;</t>
  </si>
  <si>
    <t>65</t>
  </si>
  <si>
    <t>286231156VD</t>
  </si>
  <si>
    <t>T KUS 8510 DN100/100 PN16 HAWLE</t>
  </si>
  <si>
    <t>66</t>
  </si>
  <si>
    <t>286231157VD</t>
  </si>
  <si>
    <t>T KUS 8510 DN100/80 PN16 HAWLE</t>
  </si>
  <si>
    <t>67</t>
  </si>
  <si>
    <t>857601104R00</t>
  </si>
  <si>
    <t>Montáž tvarovek DN 150</t>
  </si>
  <si>
    <t>68</t>
  </si>
  <si>
    <t>286231152VD</t>
  </si>
  <si>
    <t>T KUS redur. 90st. WAVIN SDR17 PE100 D140/90 PN5/10</t>
  </si>
  <si>
    <t>87</t>
  </si>
  <si>
    <t>Potrubí z trub plastických, skleněných a čedičových</t>
  </si>
  <si>
    <t>69</t>
  </si>
  <si>
    <t>871812111R00</t>
  </si>
  <si>
    <t>Příplatek za zaměření GPS během pokládky</t>
  </si>
  <si>
    <t>87_</t>
  </si>
  <si>
    <t>70</t>
  </si>
  <si>
    <t>871311121R00</t>
  </si>
  <si>
    <t>Montáž trubek polyetylenových ve výkopu d 160 mm</t>
  </si>
  <si>
    <t>71</t>
  </si>
  <si>
    <t>286134635</t>
  </si>
  <si>
    <t>Trubka vodovodní PE RC Protect SDR 17  140x8,3 mm</t>
  </si>
  <si>
    <t>72</t>
  </si>
  <si>
    <t>871251121R00</t>
  </si>
  <si>
    <t>Montáž trubek polyetylenových ve výkopu d 110 mm</t>
  </si>
  <si>
    <t>73</t>
  </si>
  <si>
    <t>285110012VD</t>
  </si>
  <si>
    <t>Předizol. trubka HDPE SDR17 PN10 d=110x6,6mm tl. izol. 32mm</t>
  </si>
  <si>
    <t>74</t>
  </si>
  <si>
    <t>871371121R00</t>
  </si>
  <si>
    <t>Montáž trubek polyetylenových ve výkopu d 315 mm</t>
  </si>
  <si>
    <t>75</t>
  </si>
  <si>
    <t>285110011VD</t>
  </si>
  <si>
    <t>Předizol. trubka HDPE SDR17 PN10 d=200x11,9mm tl. izol. 53mm</t>
  </si>
  <si>
    <t>76</t>
  </si>
  <si>
    <t>871812112R00</t>
  </si>
  <si>
    <t>Příplatek za položení signalizačního vodiče a datového kabelu</t>
  </si>
  <si>
    <t>celková délka výkopu pro všechny šířky</t>
  </si>
  <si>
    <t>77</t>
  </si>
  <si>
    <t>34111012</t>
  </si>
  <si>
    <t>Kabel Cu signalizační</t>
  </si>
  <si>
    <t>78</t>
  </si>
  <si>
    <t>34111110VD</t>
  </si>
  <si>
    <t>PAAR-LiYCY 2x2x0,75 kabel datový</t>
  </si>
  <si>
    <t>79</t>
  </si>
  <si>
    <t>899711122R00</t>
  </si>
  <si>
    <t>Fólie výstražná z PVC</t>
  </si>
  <si>
    <t>80</t>
  </si>
  <si>
    <t>871221100VD</t>
  </si>
  <si>
    <t>Chránička pro DN250</t>
  </si>
  <si>
    <t>5;hnědá včetně osazení a přípravy;</t>
  </si>
  <si>
    <t>88</t>
  </si>
  <si>
    <t>Potrubí z drenážek</t>
  </si>
  <si>
    <t>81</t>
  </si>
  <si>
    <t>881267211R00</t>
  </si>
  <si>
    <t>Potrubí z drenážních trubek, přeložení DN 100</t>
  </si>
  <si>
    <t>88_</t>
  </si>
  <si>
    <t>82</t>
  </si>
  <si>
    <t>28611233</t>
  </si>
  <si>
    <t>Trubka PVC-U drenážní flexibilní d 100 mm</t>
  </si>
  <si>
    <t>89</t>
  </si>
  <si>
    <t>Ostatní konstrukce a práce na trubním vedení</t>
  </si>
  <si>
    <t>83</t>
  </si>
  <si>
    <t>892271111R00</t>
  </si>
  <si>
    <t>Tlaková zkouška vodovodního potrubí DN 125</t>
  </si>
  <si>
    <t>89_</t>
  </si>
  <si>
    <t>84</t>
  </si>
  <si>
    <t>892351111R00</t>
  </si>
  <si>
    <t>Tlaková zkouška vodovodního potrubí DN 200</t>
  </si>
  <si>
    <t>34,61;bez izolace + izometrie;</t>
  </si>
  <si>
    <t>891261111R00</t>
  </si>
  <si>
    <t>Montáž vodovodních šoupátek DN 100</t>
  </si>
  <si>
    <t>2;Š 3600 Deskové DN100 PN10 HAWLE;</t>
  </si>
  <si>
    <t>86</t>
  </si>
  <si>
    <t>286231158VD</t>
  </si>
  <si>
    <t>Š 3600 Deskové DN100 PN10 HAWLE</t>
  </si>
  <si>
    <t>891241111R00</t>
  </si>
  <si>
    <t>Montáž vodovodních šoupátek DN 80</t>
  </si>
  <si>
    <t>1;Š 3600 Deskové DN80 PN10 HAWLE;</t>
  </si>
  <si>
    <t>286231159VD</t>
  </si>
  <si>
    <t>Š 3600 Deskové DN80 PN10 HAWLE</t>
  </si>
  <si>
    <t>891265321R00</t>
  </si>
  <si>
    <t>Montáž zpětných klapek DN 100</t>
  </si>
  <si>
    <t>1;Zpětná klapka 9831 DN100 HAWLE;</t>
  </si>
  <si>
    <t>90</t>
  </si>
  <si>
    <t>286231160VD</t>
  </si>
  <si>
    <t>Zpětná klapka 9831 DN100 HAWLE</t>
  </si>
  <si>
    <t>894</t>
  </si>
  <si>
    <t>šachty kanalizační</t>
  </si>
  <si>
    <t>91</t>
  </si>
  <si>
    <t>894410003VD</t>
  </si>
  <si>
    <t>Šachta z bet. dílců vč. poklopu</t>
  </si>
  <si>
    <t>894_</t>
  </si>
  <si>
    <t>1;fialová;</t>
  </si>
  <si>
    <t>92</t>
  </si>
  <si>
    <t>9_</t>
  </si>
  <si>
    <t>Doplňující konstrukce a práce na pozemních komunikacích a zpevněných plochách</t>
  </si>
  <si>
    <t>93</t>
  </si>
  <si>
    <t>919735113R00</t>
  </si>
  <si>
    <t>94</t>
  </si>
  <si>
    <t>919731121R00</t>
  </si>
  <si>
    <t>Zarovnání styčné plochy živičné tl. do 5 cm</t>
  </si>
  <si>
    <t>95</t>
  </si>
  <si>
    <t>H22</t>
  </si>
  <si>
    <t>Komunikace pozemní a letiště</t>
  </si>
  <si>
    <t>96</t>
  </si>
  <si>
    <t>998225111R00</t>
  </si>
  <si>
    <t>Přesun hmot, pozemní komunikace, kryt živičný</t>
  </si>
  <si>
    <t>H22_</t>
  </si>
  <si>
    <t>97</t>
  </si>
  <si>
    <t>998223011R00</t>
  </si>
  <si>
    <t>Přesun hmot, pozemní komunikace, kryt dlážděný</t>
  </si>
  <si>
    <t>H27</t>
  </si>
  <si>
    <t>Vedení trubní dálková a přípojná</t>
  </si>
  <si>
    <t>98</t>
  </si>
  <si>
    <t>998276101R00</t>
  </si>
  <si>
    <t>Přesun hmot, trubní vedení plastová, otevř. výkop</t>
  </si>
  <si>
    <t>H27_</t>
  </si>
  <si>
    <t>M46</t>
  </si>
  <si>
    <t>Zemní práce při montážích</t>
  </si>
  <si>
    <t>99</t>
  </si>
  <si>
    <t>460650015RT1</t>
  </si>
  <si>
    <t>Podkladová vrstva ze štěrkopísku, rozprostření a zhutnění</t>
  </si>
  <si>
    <t>M46_</t>
  </si>
  <si>
    <t>1,5*1,5*0,08;štěrkopískový podsyp;</t>
  </si>
  <si>
    <t>S</t>
  </si>
  <si>
    <t>Přesuny sutí</t>
  </si>
  <si>
    <t>100</t>
  </si>
  <si>
    <t>979087213R00</t>
  </si>
  <si>
    <t>Nakládání vybour.hmot na dop.prostředky-komunikace</t>
  </si>
  <si>
    <t>S_</t>
  </si>
  <si>
    <t>101</t>
  </si>
  <si>
    <t>979094111R00</t>
  </si>
  <si>
    <t>102</t>
  </si>
  <si>
    <t>979081111R00</t>
  </si>
  <si>
    <t>Odvoz suti a vybour. hmot na skládku do 1 km</t>
  </si>
  <si>
    <t>103</t>
  </si>
  <si>
    <t>979081121R00</t>
  </si>
  <si>
    <t>Příplatek k odvozu za každý další 1 km</t>
  </si>
  <si>
    <t>104</t>
  </si>
  <si>
    <t>105</t>
  </si>
  <si>
    <t>012VD</t>
  </si>
  <si>
    <t>vrn</t>
  </si>
  <si>
    <t>106</t>
  </si>
  <si>
    <t>012111111VD</t>
  </si>
  <si>
    <t>Zařízení staveniště</t>
  </si>
  <si>
    <t>%</t>
  </si>
  <si>
    <t>012VD_</t>
  </si>
  <si>
    <t>107</t>
  </si>
  <si>
    <t>012111112VD</t>
  </si>
  <si>
    <t>Územní vlivy</t>
  </si>
  <si>
    <t>108</t>
  </si>
  <si>
    <t>012111113VD</t>
  </si>
  <si>
    <t>Provozní vlivy</t>
  </si>
  <si>
    <t>109</t>
  </si>
  <si>
    <t>Celkem:</t>
  </si>
  <si>
    <t>001221142VD</t>
  </si>
  <si>
    <t>Použití jeřábu pro osazení šachty</t>
  </si>
  <si>
    <t>1;použití jeřábu;</t>
  </si>
  <si>
    <t>1;zajištění kabelů;</t>
  </si>
  <si>
    <t>5,5*4,7*2,95;výkop;</t>
  </si>
  <si>
    <t>76,2575*0,2;příplatek 20%;</t>
  </si>
  <si>
    <t>131301110R00</t>
  </si>
  <si>
    <t>Hloubení nezapaž. jam hor.4 do 50 m3, STROJNĚ</t>
  </si>
  <si>
    <t>3,9*3,1*0,156;pro podklad;</t>
  </si>
  <si>
    <t>137,9</t>
  </si>
  <si>
    <t>151811617R00</t>
  </si>
  <si>
    <t>Montáž pažic.boxu standard dl.3m, š.3,5m, hl.3,57m</t>
  </si>
  <si>
    <t>151813617R00</t>
  </si>
  <si>
    <t>Dmtž pažicího boxu standard dl.3m, š.3,5m,hl.3,57m</t>
  </si>
  <si>
    <t>151812614R00</t>
  </si>
  <si>
    <t>Pronájem lehkého pažic.boxu dl.3m, š.3,5m,hl.3,27m</t>
  </si>
  <si>
    <t>136,74*1,45*2;pažení;</t>
  </si>
  <si>
    <t>396,546;viz pažení;</t>
  </si>
  <si>
    <t>151101102R00</t>
  </si>
  <si>
    <t>Pažení a rozepření stěn rýh - příložné - hl.do 4 m</t>
  </si>
  <si>
    <t>1,16*2,5*2;pažení;</t>
  </si>
  <si>
    <t>151101112R00</t>
  </si>
  <si>
    <t>Odstranění pažení stěn rýh - příložné - hl. do 4 m</t>
  </si>
  <si>
    <t>5,8;viz pažení;</t>
  </si>
  <si>
    <t>76,2575;viz hloubení zapaž. jam;</t>
  </si>
  <si>
    <t>1,88604;viz hloubení nezapaž. jam;</t>
  </si>
  <si>
    <t>12,411;lože trativodu;</t>
  </si>
  <si>
    <t>50,49954;pro zásyp jámy;</t>
  </si>
  <si>
    <t>-50,49954;viz zásyp šachty;</t>
  </si>
  <si>
    <t>106,88363;viz nakládání na skládku;</t>
  </si>
  <si>
    <t>106,88363*19;odvoz celkem do 20km;</t>
  </si>
  <si>
    <t>Zásyp odbočovací šachty se zhutněním</t>
  </si>
  <si>
    <t>78,14354;viz svislé přemístění;</t>
  </si>
  <si>
    <t>-1,8135;viz podkladová vrstva ze štěrkopísku;</t>
  </si>
  <si>
    <t>-1,8135;viz podkladová základová deska;</t>
  </si>
  <si>
    <t>-3,5*2,7*2,5;viz šachta;</t>
  </si>
  <si>
    <t>-1,4*1,4*0,2;viz vstup do šachty;</t>
  </si>
  <si>
    <t>137,9*1*(0,14+0,3)</t>
  </si>
  <si>
    <t>-3,14*0,14*0,14/4*137,9</t>
  </si>
  <si>
    <t>;obsyp;</t>
  </si>
  <si>
    <t>-20,685;viz lože;</t>
  </si>
  <si>
    <t>-58,55427;viz obsyp;</t>
  </si>
  <si>
    <t>106,88363;viz uložení;</t>
  </si>
  <si>
    <t>137,9*0,3*0,3</t>
  </si>
  <si>
    <t>273321311R00</t>
  </si>
  <si>
    <t>Železobeton základových desek C 16/20</t>
  </si>
  <si>
    <t>3,9*3,1*0,15;podkladní deska;</t>
  </si>
  <si>
    <t>(3,9+3,1)*2*0,15;podkladní deska;</t>
  </si>
  <si>
    <t>2,1;viz zřízení;</t>
  </si>
  <si>
    <t>273362021R00</t>
  </si>
  <si>
    <t>Výztuž základových desek ze svařovaných sití KARI</t>
  </si>
  <si>
    <t>3,9*3,1*8/1000;podkladní deska;</t>
  </si>
  <si>
    <t>Instalace průchodky včetně opravy hydroizolace vnější stěny</t>
  </si>
  <si>
    <t>1;průchodka;</t>
  </si>
  <si>
    <t>343111101VD</t>
  </si>
  <si>
    <t>Průchodka do šachty</t>
  </si>
  <si>
    <t>3;průchodka;</t>
  </si>
  <si>
    <t>137,9*1*0,15;lože;</t>
  </si>
  <si>
    <t>20,685;viz lože;</t>
  </si>
  <si>
    <t>Úprava povrchů vnitřní</t>
  </si>
  <si>
    <t>612421221R00</t>
  </si>
  <si>
    <t>Oprava omítek stěn do 10 % pl. - hladkých</t>
  </si>
  <si>
    <t>61_</t>
  </si>
  <si>
    <t>6_</t>
  </si>
  <si>
    <t>(2,425+4)*2*0,9-0,96*0,4*2;002;</t>
  </si>
  <si>
    <t>(5+4)*2*0,9-0,96*0,4+(0,86+0,56)*2*1,05;003;</t>
  </si>
  <si>
    <t>S2</t>
  </si>
  <si>
    <t>611421221R00</t>
  </si>
  <si>
    <t>Oprava omítek stropů do 10% plochy - hladkých</t>
  </si>
  <si>
    <t>9,9;002;</t>
  </si>
  <si>
    <t>18,5;003;</t>
  </si>
  <si>
    <t>Úprava povrchů vnější</t>
  </si>
  <si>
    <t>622471112R00</t>
  </si>
  <si>
    <t>Nátěr vnějších stěn algicidní a fungicidní</t>
  </si>
  <si>
    <t>62_</t>
  </si>
  <si>
    <t>(1,175+2,5*2)*2,5-0,96*2,02+4,5*1,5*2*2;001;</t>
  </si>
  <si>
    <t>711</t>
  </si>
  <si>
    <t>Izolace proti vodě</t>
  </si>
  <si>
    <t>711141559RZ3</t>
  </si>
  <si>
    <t>Provedení izolace proti vlhkosti na ploše vodorovné, asfaltovými pásy přitavením, 1 vrstva - včetně dodávky</t>
  </si>
  <si>
    <t>711_</t>
  </si>
  <si>
    <t>71_</t>
  </si>
  <si>
    <t>3,9*3,1;hydroizolační vrstva;</t>
  </si>
  <si>
    <t>12,09*0,1;prořez;</t>
  </si>
  <si>
    <t>767995153VD</t>
  </si>
  <si>
    <t>Žebřík nerezový, šíře 400mm, délka 2,4m včetně kotvení</t>
  </si>
  <si>
    <t>1;žebřík;</t>
  </si>
  <si>
    <t>771</t>
  </si>
  <si>
    <t>Podlahy z dlaždic</t>
  </si>
  <si>
    <t>771100010RA0</t>
  </si>
  <si>
    <t>Vyrovnání podk.samoniv.hmotou</t>
  </si>
  <si>
    <t>771_</t>
  </si>
  <si>
    <t>77_</t>
  </si>
  <si>
    <t>P1 - S4, S5</t>
  </si>
  <si>
    <t>771101210RT2</t>
  </si>
  <si>
    <t>Penetrace podkladu pod dlažby</t>
  </si>
  <si>
    <t>28,4;viz vyrovnání;</t>
  </si>
  <si>
    <t>771575107RT2</t>
  </si>
  <si>
    <t xml:space="preserve">Montáž podlah keram.,režné hladké, tmel	</t>
  </si>
  <si>
    <t>597000002VD</t>
  </si>
  <si>
    <t>Dlažba protiskluzová keramická</t>
  </si>
  <si>
    <t>30;viz pokládka - P1;</t>
  </si>
  <si>
    <t>771990010RA0</t>
  </si>
  <si>
    <t>Vybourání keramické nebo teracové dlažby</t>
  </si>
  <si>
    <t>781</t>
  </si>
  <si>
    <t>Obklady (keramické)</t>
  </si>
  <si>
    <t>781110012VD</t>
  </si>
  <si>
    <t>781_</t>
  </si>
  <si>
    <t>78_</t>
  </si>
  <si>
    <t>783</t>
  </si>
  <si>
    <t>Nátěry</t>
  </si>
  <si>
    <t>783824120R00</t>
  </si>
  <si>
    <t>Nátěr betonových povrchů protiskluzový včetně drobných oprav</t>
  </si>
  <si>
    <t>783_</t>
  </si>
  <si>
    <t>19*0,18*1,175+18*0,27*1,175+1,175*1,2;001 - S7;</t>
  </si>
  <si>
    <t>783904811R00</t>
  </si>
  <si>
    <t>Odrezivění kovových konstrukcí</t>
  </si>
  <si>
    <t>5*(0,15*3+0,24*2);003 - S7;</t>
  </si>
  <si>
    <t>783903811R00</t>
  </si>
  <si>
    <t>Odmaštění chemickými rozpouštědly</t>
  </si>
  <si>
    <t>4,65;viz odrezivění;</t>
  </si>
  <si>
    <t>783101811R00</t>
  </si>
  <si>
    <t>Odstranění nátěrů z ocel.konstrukcí oškrábáním</t>
  </si>
  <si>
    <t>783122110R00</t>
  </si>
  <si>
    <t>Nátěr syntetický OK dvojnásobný</t>
  </si>
  <si>
    <t>4,65;viz odrezivění - S7;</t>
  </si>
  <si>
    <t>783122710R00</t>
  </si>
  <si>
    <t>Nátěr syntetický OK základní</t>
  </si>
  <si>
    <t>784</t>
  </si>
  <si>
    <t>Malby</t>
  </si>
  <si>
    <t>784151101R00</t>
  </si>
  <si>
    <t>Penetrace podkladu 1 x</t>
  </si>
  <si>
    <t>784_</t>
  </si>
  <si>
    <t>29,595;viz oprava omítek stěn;</t>
  </si>
  <si>
    <t>28,4;viz oprava omítek stropů;</t>
  </si>
  <si>
    <t>S3</t>
  </si>
  <si>
    <t>784165611R00</t>
  </si>
  <si>
    <t>Malba omyvat., bílá, bez penetrace, 1x</t>
  </si>
  <si>
    <t>57,995;viz penetrace - S3;</t>
  </si>
  <si>
    <t>2;Elektrospojka WAVIN SDR11 PE100 D110 PN10/16;</t>
  </si>
  <si>
    <t>2;Lemový nákružek A WAVIN SDR17 PE100 D110 PN5/10;</t>
  </si>
  <si>
    <t>2;Příruba PP-OCEL WAVIN D110 PN10/16;</t>
  </si>
  <si>
    <t>1;Uzav. klapka TTV s el. pohonem 2094E-DN100-PN16 W;</t>
  </si>
  <si>
    <t>286231132VD</t>
  </si>
  <si>
    <t>Elektrospojka WAVIN SDR11 PE100 D110 PN10/16</t>
  </si>
  <si>
    <t>286231135VD</t>
  </si>
  <si>
    <t>Lemový nákružek A WAVIN SDR17 PE100 D110 PN5/10</t>
  </si>
  <si>
    <t>286231138VD</t>
  </si>
  <si>
    <t>Příruba PP-OCEL WAVIN D110 PN10/16</t>
  </si>
  <si>
    <t>286231142VD</t>
  </si>
  <si>
    <t>Uzav. klapka TTV s el. pohonem 2094E-DN100-PN16 W</t>
  </si>
  <si>
    <t>857601105R00</t>
  </si>
  <si>
    <t>Montáž tvarovek DN 200</t>
  </si>
  <si>
    <t>1;Elektrokus T kus reduk. WAVIN PE100 D200-110 PN10/16;</t>
  </si>
  <si>
    <t>2;Elektrokus T kus WAVIN PE100 D200 PN10/16;</t>
  </si>
  <si>
    <t>7;Elektrospojka WAVIN SDR17 PE100 D200 PN10/16;</t>
  </si>
  <si>
    <t>2;Koleno 90st. WAVIN SDR17 PE100 D200 PN5/10;</t>
  </si>
  <si>
    <t>4;Lemový nákružek A WAVIN SDR17 PE100 D200 PN5/10;</t>
  </si>
  <si>
    <t>4;Příruba PP-OCEL WAVIN D200 PN16;</t>
  </si>
  <si>
    <t>2;Uzav. klapka TTV s el. pohonem 2034E-DN200-PN16 W;</t>
  </si>
  <si>
    <t>286231130VD</t>
  </si>
  <si>
    <t>Elektrokus T kus reduk. WAVIN PE100 D200-110 PN10/16</t>
  </si>
  <si>
    <t>286231131VD</t>
  </si>
  <si>
    <t>Elektrokus T kus WAVIN PE100 D200 PN10/16</t>
  </si>
  <si>
    <t>286231133VD</t>
  </si>
  <si>
    <t>Elektrospojka WAVIN SDR17 PE100 D200 PN10/16</t>
  </si>
  <si>
    <t>286231134VD</t>
  </si>
  <si>
    <t>Koleno 90st. WAVIN SDR17 PE100 D200 PN5/10</t>
  </si>
  <si>
    <t>286231136VD</t>
  </si>
  <si>
    <t>Lemový nákružek A WAVIN SDR17 PE100 D200 PN5/10</t>
  </si>
  <si>
    <t>286231139VD</t>
  </si>
  <si>
    <t>Příruba PP-OCEL WAVIN D200 PN16</t>
  </si>
  <si>
    <t>286231143VD</t>
  </si>
  <si>
    <t>Uzav. klapka TTV s el. pohonem 2034E-DN200-PN16 W</t>
  </si>
  <si>
    <t>857601107R00</t>
  </si>
  <si>
    <t>Montáž tvarovek DN 300</t>
  </si>
  <si>
    <t>2;Redukce WAVIN SDR17 PE100 D315/200 PN5/10;</t>
  </si>
  <si>
    <t>3;Průchodka LS-325/9 BS316-OTVOR DN250;</t>
  </si>
  <si>
    <t>286231140VD</t>
  </si>
  <si>
    <t>Redukce WAVIN SDR17 PE100 D315/200 PN5/10</t>
  </si>
  <si>
    <t>286231146VD</t>
  </si>
  <si>
    <t>Průchodka LS-325/9 BS316-OTVOR DN250</t>
  </si>
  <si>
    <t>857601109R00</t>
  </si>
  <si>
    <t>Montáž tvarovek DN 400</t>
  </si>
  <si>
    <t>2;Přechod. kus SC 465 + vložka BC 32/400;</t>
  </si>
  <si>
    <t>2;Redukce WAVIN SDR17 PE100 D450/315 PN5/10;</t>
  </si>
  <si>
    <t>286231137VD</t>
  </si>
  <si>
    <t>Přechod. kus SC 465 + vložka BC 32/400</t>
  </si>
  <si>
    <t>286231141VD</t>
  </si>
  <si>
    <t>Redukce WAVIN SDR17 PE100 D450/315 PN5/10</t>
  </si>
  <si>
    <t>286134633</t>
  </si>
  <si>
    <t>Trubka vodovodní HDPE SDR 17  110x6,6 mm, tl. izolace 32mm</t>
  </si>
  <si>
    <t>137,9*1,05;ztratné;</t>
  </si>
  <si>
    <t>137,9;vodič;</t>
  </si>
  <si>
    <t>137,90*1,05;ztratné;</t>
  </si>
  <si>
    <t>137,9*2;fólie;</t>
  </si>
  <si>
    <t>275,8*0,05;ztratné;</t>
  </si>
  <si>
    <t>139,7</t>
  </si>
  <si>
    <t>286559919VD</t>
  </si>
  <si>
    <t>Propojení potrubí po osazení šachty</t>
  </si>
  <si>
    <t>1;propojení potrubí;</t>
  </si>
  <si>
    <t>895013111R00</t>
  </si>
  <si>
    <t>Zřízení a dodávka jímky z prefa do 4 m, nad 3,5 m2</t>
  </si>
  <si>
    <t>1;odbočovací jímka;</t>
  </si>
  <si>
    <t>899102111RT2</t>
  </si>
  <si>
    <t>Osazení a dodávka poklopu včetně rámu, uzamykatelný, těsný 900x900mm</t>
  </si>
  <si>
    <t>1;rám;</t>
  </si>
  <si>
    <t>891</t>
  </si>
  <si>
    <t>armatury na potrubí, výtoková a vtoková zařízení</t>
  </si>
  <si>
    <t>891110013VD</t>
  </si>
  <si>
    <t>Vyříznutí stávajícího potrubí termální vody</t>
  </si>
  <si>
    <t>891_</t>
  </si>
  <si>
    <t>Podpěry</t>
  </si>
  <si>
    <t>894110015VD</t>
  </si>
  <si>
    <t>Podpěra v odbočovací šachtě</t>
  </si>
  <si>
    <t>5;P1;</t>
  </si>
  <si>
    <t>1;P2;</t>
  </si>
  <si>
    <t>Různé dokončovací konstrukce a práce inženýrských staveb</t>
  </si>
  <si>
    <t>938907121R00</t>
  </si>
  <si>
    <t>Očištění stěn, podlah a stropů tlakovou vodou</t>
  </si>
  <si>
    <t>93_</t>
  </si>
  <si>
    <t>((1,175+2,5*2)*2,5-0,96*2,02+4,5*1,5*2)*2+11,139;001;</t>
  </si>
  <si>
    <t>(2,425+4)*2*2,5-0,96*2,02*2+9,9*2;002;</t>
  </si>
  <si>
    <t>(5+4)*2*2,5-0,96*2,02+18,5*2+(0,86+0,56)*2*1,05-1,19*0,79;003;</t>
  </si>
  <si>
    <t>(5+4)*2,46*2+20*2-1,19*0,79+(1,19+0,79)*2*0,42;004;</t>
  </si>
  <si>
    <t>S1</t>
  </si>
  <si>
    <t>H99</t>
  </si>
  <si>
    <t>Ostatní přesuny hmot</t>
  </si>
  <si>
    <t>999281105R00</t>
  </si>
  <si>
    <t>Přesun hmot pro opravy a údržbu do výšky 6 m</t>
  </si>
  <si>
    <t>H99_</t>
  </si>
  <si>
    <t>3,11517</t>
  </si>
  <si>
    <t>M22</t>
  </si>
  <si>
    <t>Montáže sdělovací a zabezpečovací techniky</t>
  </si>
  <si>
    <t>222611215R00</t>
  </si>
  <si>
    <t>Montáž pohonů</t>
  </si>
  <si>
    <t>M22_</t>
  </si>
  <si>
    <t>1;Pohon "VALPES VS FS" VR75-70A-GS6-100-240V AC;</t>
  </si>
  <si>
    <t>2;Pohon "VALPES VS FS" VS300-90A-GS6-100-240V AC;</t>
  </si>
  <si>
    <t>286231144VD</t>
  </si>
  <si>
    <t>Pohon "VALPES VS FS" VR75-70A-GS6-100-240V AC</t>
  </si>
  <si>
    <t>286231145VD</t>
  </si>
  <si>
    <t>Pohon "VALPES VS FS" VS300-90A-GS6-100-240V AC</t>
  </si>
  <si>
    <t>3,9*3,1*0,15;štěrkopískový podsyp;</t>
  </si>
  <si>
    <t>Nakládání nebo překládání vybouraných hmot</t>
  </si>
  <si>
    <t>110</t>
  </si>
  <si>
    <t>111</t>
  </si>
  <si>
    <t>112</t>
  </si>
  <si>
    <t xml:space="preserve">    740 - Bazénová technologie</t>
  </si>
  <si>
    <t>Bazénová technologie *</t>
  </si>
  <si>
    <t>HENNLICH s.r.o. -  Ing. Tomáš Holčák</t>
  </si>
  <si>
    <t>HENNLICH s.r.o.</t>
  </si>
  <si>
    <t>412 01  Litoměřice</t>
  </si>
  <si>
    <t>001332224VD</t>
  </si>
  <si>
    <t>Přeložka 52m kabelů NN, chráničky, posun 3ks stožárů vč. připojení</t>
  </si>
  <si>
    <t>1;Přeložka 52m kabelů NN, chráničky, posun 3ks stožárů vč. připojení;</t>
  </si>
  <si>
    <t>27;modrá;</t>
  </si>
  <si>
    <t>38;hnědá;</t>
  </si>
  <si>
    <t>31;fialová;</t>
  </si>
  <si>
    <t>29;modrá;</t>
  </si>
  <si>
    <t>42;hnědá;</t>
  </si>
  <si>
    <t>44;fialová;</t>
  </si>
  <si>
    <t>modrá+fialová+hnědá od L8 do KÚ</t>
  </si>
  <si>
    <t>113107222RA0</t>
  </si>
  <si>
    <t>Odstranění asfaltobetonové vozovky pl. nad 50 m2</t>
  </si>
  <si>
    <t>6*2;fialová ZÚ-L8;</t>
  </si>
  <si>
    <t>33;fialová ZÚ-mezi L1 a L2;</t>
  </si>
  <si>
    <t>72,95;fialová L15-KÚ;</t>
  </si>
  <si>
    <t>41,75;hnědá + fialová L9-L12 (hnědá);</t>
  </si>
  <si>
    <t>573,18;modrá+fialová+hnědá od ZÚ modrá do KÚ;</t>
  </si>
  <si>
    <t>33*1,45*2;fialová ZÚ-mezi L1 a L2;</t>
  </si>
  <si>
    <t>72,95*1,45*2;fialová L15-KÚ;</t>
  </si>
  <si>
    <t>41,75*1,45*2;hnědá + fialová L9-L12 (hnědá);</t>
  </si>
  <si>
    <t>573,18*1,45*2;modrá+fialová+hnědá od ZÚ modrá do KÚ;</t>
  </si>
  <si>
    <t>2848,032;viz pažení;</t>
  </si>
  <si>
    <t>88,3872;lože trativodu;</t>
  </si>
  <si>
    <t>72,95*1*(0,14+0,3);fialová L15-KÚ;</t>
  </si>
  <si>
    <t>-3,14*0,14*0,14/4*72,95;odpočet potrubí;</t>
  </si>
  <si>
    <t>41,75*1,35*(0,306+0,3);hnědá + fialová L9-L12 (hnědá);</t>
  </si>
  <si>
    <t>-(3,14*0,306*0,306/4*41,75+3,14*0,14*0,14/4*41,75);odpočet potrubí;</t>
  </si>
  <si>
    <t>573,18*1,73*(0,306+0,3)</t>
  </si>
  <si>
    <t>-3,14*0,174*0,174/4*573,18</t>
  </si>
  <si>
    <t>-3,14*0,14*0,14/4*573,18</t>
  </si>
  <si>
    <t>-3,14*0,306*0,306/4*573,18</t>
  </si>
  <si>
    <t>-212,26709;viz lože;</t>
  </si>
  <si>
    <t>-750,85801;viz obsyp;</t>
  </si>
  <si>
    <t>Povrchové úpravy terénu</t>
  </si>
  <si>
    <t>18_</t>
  </si>
  <si>
    <t>982,08*0,3*0,3</t>
  </si>
  <si>
    <t>Lože pod potrubí z kameniva těženého 0 - 4 mm</t>
  </si>
  <si>
    <t>33*1*0,15;fialová ZÚ-mezi L1 a L2;</t>
  </si>
  <si>
    <t>72,95*1*0,15;fialová L15-KÚ;</t>
  </si>
  <si>
    <t>41,75*1,35*0,15;hnědá + fialová L9-L12 (hnědá);</t>
  </si>
  <si>
    <t>573,18*1,73*0,15;modrá+fialová+hnědá od ZÚ modrá do KÚ;</t>
  </si>
  <si>
    <t>212,26709;viz lože;</t>
  </si>
  <si>
    <t>56_</t>
  </si>
  <si>
    <t>57_</t>
  </si>
  <si>
    <t>722_</t>
  </si>
  <si>
    <t>72_</t>
  </si>
  <si>
    <t>34,61*1,05;prořez;</t>
  </si>
  <si>
    <t>10;Lemový nákružek A WAVIN SDR11 PE100 D63 PN10/16;</t>
  </si>
  <si>
    <t>10;Příruba PP-OCEL WAVIN D63 PN16;</t>
  </si>
  <si>
    <t>10;PP 90st. 5049 DN50 PN16 HAWLE;</t>
  </si>
  <si>
    <t>10;Poklop hydrantový 1950 podzemní KASI;</t>
  </si>
  <si>
    <t>10;D810 DN50 2m PN16 HAWLE;</t>
  </si>
  <si>
    <t>3;modrá;</t>
  </si>
  <si>
    <t>4;hnědá;</t>
  </si>
  <si>
    <t>3;fialová;</t>
  </si>
  <si>
    <t>3;Redukce WAVIN SDR17 PE100 D90/63 PN5/10;</t>
  </si>
  <si>
    <t>3;T KUS redur. 90st. WAVIN SDR17 PE100 D140/90 PN5/10;</t>
  </si>
  <si>
    <t>648,63+72,95;fialová;</t>
  </si>
  <si>
    <t>721,58*1,05;prořez;</t>
  </si>
  <si>
    <t>573,18;modrá;</t>
  </si>
  <si>
    <t>573,18*1,05;prořez;</t>
  </si>
  <si>
    <t>874,7;hnědá;</t>
  </si>
  <si>
    <t>874,7*1,05;prořez;</t>
  </si>
  <si>
    <t>982,08;vodič;</t>
  </si>
  <si>
    <t>982,08*1,05;ztratné;</t>
  </si>
  <si>
    <t>261,2+33+72,95;šířka výkopu 1m;</t>
  </si>
  <si>
    <t>41,75*2;šířka výkopu 1,35m;</t>
  </si>
  <si>
    <t>573,18*3;šířka výkopu 1,73m;</t>
  </si>
  <si>
    <t>2170,19*0,05;ztratné;</t>
  </si>
  <si>
    <t>982,08;celková délka výkopu pro všechny šířky;</t>
  </si>
  <si>
    <t>721,58;fialová;</t>
  </si>
  <si>
    <t>Napojení na stávající potrubí</t>
  </si>
  <si>
    <t>891001101VD</t>
  </si>
  <si>
    <t>3;napojení na stávající potrubí;</t>
  </si>
  <si>
    <t>Řezání stávajícího živičného krytu tl. 10 - 15 cm</t>
  </si>
  <si>
    <t>91_</t>
  </si>
  <si>
    <t>(6+8+15+220+40)*2</t>
  </si>
  <si>
    <t>590;viz řezání;</t>
  </si>
  <si>
    <t>Slepý stavební rozpočet</t>
  </si>
  <si>
    <t>29.08.2024</t>
  </si>
  <si>
    <t>VATTAX</t>
  </si>
  <si>
    <t>RTS I / 2024</t>
  </si>
  <si>
    <t>Odstranění podkladu pl. 50 m2,kam.drcené tl.10 cm</t>
  </si>
  <si>
    <t>82,2*1*1,45+1,16*1*3,9;PP;</t>
  </si>
  <si>
    <t>123,714/100*20;příplatek 20%;</t>
  </si>
  <si>
    <t>139600013RA0</t>
  </si>
  <si>
    <t>Ruční výkop v hornině 4</t>
  </si>
  <si>
    <t>50,6*1*1,6;pod stromy;</t>
  </si>
  <si>
    <t>4*1*1,6;křížení s IS;</t>
  </si>
  <si>
    <t>;viz výkres výkopových prací - 1;</t>
  </si>
  <si>
    <t>123,714+87,36;viz rýha;</t>
  </si>
  <si>
    <t>144,24573;pro zásyp rýhy;</t>
  </si>
  <si>
    <t>194,74527;viz nakládání;</t>
  </si>
  <si>
    <t>78,14354+223,485;viz svislé přemístění;</t>
  </si>
  <si>
    <t>-144,24573;viz zásyp rýhy;</t>
  </si>
  <si>
    <t>223,485;viz hloubení rýh;</t>
  </si>
  <si>
    <t>184111100VD</t>
  </si>
  <si>
    <t>Ošetření a ochrana stromů</t>
  </si>
  <si>
    <t>4;stromy;</t>
  </si>
  <si>
    <t>Při hloubení výkopů v blízkosti dřevin, které mají být zachovány,</t>
  </si>
  <si>
    <t>se musí zachovávat určité zásady: výkop se nesmí při tom vést blíže než 2,5m od paty kmene.</t>
  </si>
  <si>
    <t>Při hloubení nesmí být přerušeny  kořeny o průměru větším než 3cm.</t>
  </si>
  <si>
    <t>Případná poranění je nutno ošetřit. Kořeny je možno přerušit pouze řezem</t>
  </si>
  <si>
    <t>a řezná místa zahladit. Konce kořenů o průměru menším než 2cm je nutno ošetři</t>
  </si>
  <si>
    <t>růstovými stimulátory, kořeny o průměru větším než 2 cm je nutno ošetřit přípravky k ošetření ran.</t>
  </si>
  <si>
    <t>Kořeny je nutno chránit před vysycháním a před účinky mrazu. Ochrana:</t>
  </si>
  <si>
    <t>Vysychání nejvíce urychluje slunce, vítr a mráz. Kořeny je nutno přikrýt zeminou a zalít.</t>
  </si>
  <si>
    <t>Pokud to není možné, musí se kořeny překrýt textilií, udržující vlhkost a zabraňující působení slunce a mrazu.</t>
  </si>
  <si>
    <t>Kořeny musí být udržovány vlhké. Kořeny v jámách, rýhách, nebo prokopávkách omotáme textilií,</t>
  </si>
  <si>
    <t>zvlhčíme ji a pak obalíme materiálem, který brání výparu.Lepší ochranou je bandáž z jílové kaše,</t>
  </si>
  <si>
    <t>juty a materiálu bránícímu výparu. Kořeny v úzkých rýhách chráníme zakrytím celé rýhy.</t>
  </si>
  <si>
    <t>Zrnitost zásypových materiálů a míra jejich zhutnění musí zabezpečovat</t>
  </si>
  <si>
    <t>trvalé provzdušňování nutné pro regeneraci poškozených kořenů.</t>
  </si>
  <si>
    <t>V závislosti na ztrátě kořenů může nastat potřeba ukotvit dřevinu, provést vyrovnávací řez  v koruně,</t>
  </si>
  <si>
    <t>nebo provést oba zásahy současně. Při nepevné půdě a u hlubokých hloubených výkopů</t>
  </si>
  <si>
    <t>je nutné zajistit strom proti sesuvu vhodným technickým opatřením např. začepováním.</t>
  </si>
  <si>
    <t>9;viz odstranění;</t>
  </si>
  <si>
    <t>Oprava ker. obkladu nádrže</t>
  </si>
  <si>
    <t>44,28*0,2;plocha nádrže x 20% - odhad z celkové plochy;</t>
  </si>
  <si>
    <t>odstranění obkladu, přebroušení podkladu, penetrace, nový obklad</t>
  </si>
  <si>
    <t>lepidlo do vlhkého prostředí, spárování</t>
  </si>
  <si>
    <t>4,68342</t>
  </si>
  <si>
    <t>188,13772</t>
  </si>
  <si>
    <t>2,97</t>
  </si>
  <si>
    <t>2,97*19;odvoz celkem do 20km;</t>
  </si>
  <si>
    <t>979999995R00</t>
  </si>
  <si>
    <t>Poplatek za recyklaci asfaltu, kusovost do 1600 cm2, (skup.170302)</t>
  </si>
  <si>
    <t>0,99</t>
  </si>
  <si>
    <t>979999998R00</t>
  </si>
  <si>
    <t>Poplatek za ukládku suť do 5 % příměsí (skup.170107)</t>
  </si>
  <si>
    <t>1,98</t>
  </si>
  <si>
    <t>113</t>
  </si>
  <si>
    <t>Nakládání nebo překládání vybouraných hmot - dlažba pro zpětnou pokládku</t>
  </si>
  <si>
    <t>0,3695*2;2x nakládání pro uložení a zpětný odvoz;</t>
  </si>
  <si>
    <t>114</t>
  </si>
  <si>
    <t>979084212R00</t>
  </si>
  <si>
    <t>Vodorovná doprava vybour. hmot po suchu do 50 m - dlažba pro zpětnou pokládku</t>
  </si>
  <si>
    <t>0,3695*2;2x doprava pro uložení a zpětný odvoz;</t>
  </si>
  <si>
    <t>115</t>
  </si>
  <si>
    <t>116</t>
  </si>
  <si>
    <t>117</t>
  </si>
  <si>
    <t>001332245VD</t>
  </si>
  <si>
    <t>Posouzení stavu patek trakčního vedení statikem</t>
  </si>
  <si>
    <t>001332246VD</t>
  </si>
  <si>
    <t>Přitížení zákl. patky trakčního vedení dle návrhu statika</t>
  </si>
  <si>
    <t>3;patky;</t>
  </si>
  <si>
    <t>213,8</t>
  </si>
  <si>
    <t>507,2</t>
  </si>
  <si>
    <t>132,8</t>
  </si>
  <si>
    <t>132,8;viz asfalt chodník;</t>
  </si>
  <si>
    <t>136,35*1*1,45;hnědá ZÚ-L9;</t>
  </si>
  <si>
    <t>5,5*1*1,45;fialová ZÚ-mezi L1 a L2;</t>
  </si>
  <si>
    <t>39,1*1*1,45;fialová L15-KÚ;</t>
  </si>
  <si>
    <t>18,95*1,35*1,45;hnědá + fialová L9-L12 (hnědá);</t>
  </si>
  <si>
    <t>70,8*1,35*1,45;modrá+fialová+hnědá od ZÚ modrá do I. Etapa;</t>
  </si>
  <si>
    <t>145,2*1,73*1,45;modrá+fialová+hnědá od ZÚ modrá do KÚ;</t>
  </si>
  <si>
    <t>802,29733/100*20;příplatek 20%;</t>
  </si>
  <si>
    <t>126*1*1,45;hnědá ZÚ-L9;</t>
  </si>
  <si>
    <t>27,7*1*1,45;fialová ZÚ-mezi L1 a L2;</t>
  </si>
  <si>
    <t>34,7*1*1,45;fialová L15-KÚ;</t>
  </si>
  <si>
    <t>22,7*1,35*1,45;hnědá + fialová L9-L12 (hnědá);</t>
  </si>
  <si>
    <t>259,2*1,35*1,45;modrá+fialová+hnědá od ZÚ modrá I. Etapa;</t>
  </si>
  <si>
    <t>97,7*1,73*1,45;modrá+fialová+hnědá od ZÚ modrá do KÚ;</t>
  </si>
  <si>
    <t>;viz výkresy výkopových prací - 1, 2, 3, 4;</t>
  </si>
  <si>
    <t>111001100VD</t>
  </si>
  <si>
    <t>Kopaná sonda pro ověření velikosti patek sloupů trakčního vedení</t>
  </si>
  <si>
    <t>3;sondy;</t>
  </si>
  <si>
    <t>802,29733+1070,0797;viz rýha;</t>
  </si>
  <si>
    <t>997,63913;pro zásyp rýhy;</t>
  </si>
  <si>
    <t>1012,53188;viz nakládání;</t>
  </si>
  <si>
    <t>1012,53198</t>
  </si>
  <si>
    <t>16,65+1960,76423;viz svislé přemístění;</t>
  </si>
  <si>
    <t>-997,63913;viz zásyp rýhy;</t>
  </si>
  <si>
    <t>964,88235;viz nakládání na skládku;</t>
  </si>
  <si>
    <t>964,88235*19;odvoz celkem do 20km;</t>
  </si>
  <si>
    <t>1960,76423;viz hloubení rýh;</t>
  </si>
  <si>
    <t>964,88235;viz nakládání;</t>
  </si>
  <si>
    <t>964,88235;viz uložení;</t>
  </si>
  <si>
    <t>184401111R00</t>
  </si>
  <si>
    <t>Přesazení stromku v rovině</t>
  </si>
  <si>
    <t>1;u L8;</t>
  </si>
  <si>
    <t>1;mezi L15-L16;</t>
  </si>
  <si>
    <t>41;stromů;</t>
  </si>
  <si>
    <t>507,2;viz odstranění asf kom;</t>
  </si>
  <si>
    <t>213,8;viz odstranění;</t>
  </si>
  <si>
    <t>132,8;viz odstranění;</t>
  </si>
  <si>
    <t>213,8;viz rozebrání;</t>
  </si>
  <si>
    <t>RTS I / 2019</t>
  </si>
  <si>
    <t>Prorážení otvorů a ostatní bourací práce</t>
  </si>
  <si>
    <t>979071121R00</t>
  </si>
  <si>
    <t>Očištění vybour. kostek drobných s výplní kam. těž</t>
  </si>
  <si>
    <t>97_</t>
  </si>
  <si>
    <t>607,00221</t>
  </si>
  <si>
    <t>96,61622</t>
  </si>
  <si>
    <t>2233,67766</t>
  </si>
  <si>
    <t>500,56267</t>
  </si>
  <si>
    <t>500,56267*19;odvoz celkem do 20km;</t>
  </si>
  <si>
    <t>48,105*2;2x nakládání pro uložení a zpětný odvoz;</t>
  </si>
  <si>
    <t xml:space="preserve">Vodorovná doprava vybour. hmot po suchu do 50 m - dlažba pro zpětnou pokládku	</t>
  </si>
  <si>
    <t>48,105*2;2x doprava pro uložení a zpětný odvoz;</t>
  </si>
  <si>
    <t>29,216</t>
  </si>
  <si>
    <t>modrá - čistá termální voda-ČS-ATS
hnědá - odpadní termální voda-ČS-ATS
fialová - odpadní voda-AQC-POTOK
VŠ - vodoměrná šachta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</si>
</sst>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#,###.\-"/>
    <numFmt numFmtId="165" formatCode="#,##0.0"/>
    <numFmt numFmtId="166" formatCode="#,##0.00\ &quot;Kč&quot;"/>
    <numFmt numFmtId="167" formatCode="#,##0\ &quot;Kč&quot;"/>
    <numFmt numFmtId="168" formatCode="_-* #,##0\ [$Kč-405]_-;\-* #,##0\ [$Kč-405]_-;_-* &quot;-&quot;??\ [$Kč-405]_-;_-@_-"/>
    <numFmt numFmtId="169" formatCode="#,##0.\-"/>
    <numFmt numFmtId="170" formatCode="#,###"/>
  </numFmts>
  <fonts count="79">
    <font>
      <sz val="8"/>
      <name val="Trebuchet MS"/>
      <family val="2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8"/>
      <name val="Trebuchet MS"/>
      <family val="2"/>
    </font>
    <font>
      <sz val="10"/>
      <name val="Arial CE"/>
      <family val="2"/>
      <charset val="238"/>
    </font>
    <font>
      <b/>
      <sz val="9"/>
      <name val="Times New Roman"/>
      <family val="1"/>
      <charset val="238"/>
    </font>
    <font>
      <i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i/>
      <sz val="14"/>
      <name val="Times New Roman"/>
      <family val="1"/>
      <charset val="238"/>
    </font>
    <font>
      <sz val="10"/>
      <name val="Arial"/>
      <family val="2"/>
      <charset val="238"/>
    </font>
    <font>
      <b/>
      <i/>
      <sz val="9"/>
      <name val="Times New Roman"/>
      <family val="1"/>
      <charset val="238"/>
    </font>
    <font>
      <u/>
      <sz val="10"/>
      <color theme="10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1"/>
      <name val="Times New Roman"/>
      <family val="1"/>
      <charset val="238"/>
    </font>
    <font>
      <i/>
      <sz val="9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i/>
      <sz val="8"/>
      <name val="Arial"/>
      <family val="2"/>
      <charset val="238"/>
    </font>
    <font>
      <b/>
      <i/>
      <sz val="10"/>
      <name val="Times New Roman"/>
      <family val="1"/>
      <charset val="238"/>
    </font>
    <font>
      <b/>
      <sz val="8"/>
      <color rgb="FF960000"/>
      <name val="Times New Roman"/>
      <family val="1"/>
      <charset val="238"/>
    </font>
    <font>
      <b/>
      <i/>
      <sz val="16"/>
      <name val="Times New Roman"/>
      <family val="1"/>
      <charset val="238"/>
    </font>
    <font>
      <sz val="9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0"/>
      <color rgb="FF464646"/>
      <name val="Trebuchet MS"/>
      <family val="2"/>
      <charset val="238"/>
    </font>
    <font>
      <sz val="10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sz val="11"/>
      <name val="Trebuchet MS"/>
      <family val="2"/>
      <charset val="238"/>
    </font>
    <font>
      <sz val="10"/>
      <name val="Trebuchet MS"/>
      <family val="2"/>
    </font>
    <font>
      <sz val="12"/>
      <name val="Trebuchet MS"/>
      <family val="2"/>
    </font>
    <font>
      <sz val="14"/>
      <name val="Trebuchet MS"/>
      <family val="2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1"/>
      <name val="Trebuchet MS"/>
      <family val="2"/>
    </font>
    <font>
      <sz val="11"/>
      <color rgb="FF000000"/>
      <name val="Inherit"/>
    </font>
    <font>
      <b/>
      <sz val="11"/>
      <color rgb="FF000000"/>
      <name val="Inherit"/>
    </font>
    <font>
      <b/>
      <sz val="8"/>
      <name val="Trebuchet MS"/>
      <family val="2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i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8"/>
      <color rgb="FF003366"/>
      <name val="Arial"/>
      <family val="2"/>
      <charset val="238"/>
    </font>
    <font>
      <sz val="8"/>
      <color rgb="FF003366"/>
      <name val="Arial"/>
      <family val="2"/>
      <charset val="238"/>
    </font>
    <font>
      <i/>
      <sz val="9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i/>
      <sz val="16"/>
      <name val="Arial"/>
      <family val="2"/>
      <charset val="238"/>
    </font>
    <font>
      <sz val="14"/>
      <name val="Arial"/>
      <family val="2"/>
      <charset val="238"/>
    </font>
    <font>
      <u/>
      <sz val="10"/>
      <color theme="10"/>
      <name val="Arial CE"/>
      <family val="2"/>
      <charset val="238"/>
    </font>
    <font>
      <u/>
      <sz val="10"/>
      <color theme="10"/>
      <name val="Arial"/>
      <family val="2"/>
      <charset val="238"/>
    </font>
    <font>
      <i/>
      <sz val="10"/>
      <name val="Arial"/>
      <family val="2"/>
      <charset val="238"/>
    </font>
    <font>
      <i/>
      <sz val="11"/>
      <name val="Arial"/>
      <family val="2"/>
      <charset val="238"/>
    </font>
    <font>
      <sz val="11"/>
      <name val="Arial"/>
      <family val="2"/>
      <charset val="238"/>
    </font>
    <font>
      <sz val="9"/>
      <name val="Arial CE"/>
      <family val="2"/>
      <charset val="238"/>
    </font>
    <font>
      <sz val="8"/>
      <color rgb="FFFF0000"/>
      <name val="Trebuchet MS"/>
      <family val="2"/>
    </font>
    <font>
      <sz val="12"/>
      <name val="Times New Roman"/>
      <family val="1"/>
      <charset val="238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2"/>
      <name val="Times New Roman CE"/>
      <charset val="238"/>
    </font>
    <font>
      <sz val="1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rgb="FFFF0000"/>
      <name val="Times New Roman CE"/>
      <family val="1"/>
      <charset val="238"/>
    </font>
    <font>
      <b/>
      <sz val="11"/>
      <name val="Calibri"/>
      <family val="2"/>
      <charset val="238"/>
      <scheme val="minor"/>
    </font>
    <font>
      <i/>
      <sz val="8"/>
      <name val="Trebuchet MS"/>
      <family val="2"/>
      <charset val="238"/>
    </font>
    <font>
      <sz val="8"/>
      <name val="Arial"/>
    </font>
    <font>
      <sz val="18"/>
      <color rgb="FF000000"/>
      <name val="Arial"/>
      <charset val="238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i/>
      <sz val="10"/>
      <color rgb="FF000000"/>
      <name val="Arial"/>
      <charset val="238"/>
    </font>
    <font>
      <i/>
      <sz val="8"/>
      <color rgb="FF000000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0C0C0"/>
        <bgColor rgb="FFC0C0C0"/>
      </patternFill>
    </fill>
  </fills>
  <borders count="6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hair">
        <color rgb="FF969696"/>
      </left>
      <right style="hair">
        <color rgb="FF969696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</borders>
  <cellStyleXfs count="24">
    <xf numFmtId="0" fontId="0" fillId="0" borderId="0"/>
    <xf numFmtId="0" fontId="2" fillId="0" borderId="0" applyNumberFormat="0" applyFill="0" applyBorder="0" applyAlignment="0" applyProtection="0"/>
    <xf numFmtId="0" fontId="4" fillId="0" borderId="0"/>
    <xf numFmtId="0" fontId="9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55" fillId="0" borderId="0" applyNumberFormat="0" applyFill="0" applyBorder="0" applyAlignment="0" applyProtection="0"/>
    <xf numFmtId="0" fontId="4" fillId="0" borderId="0"/>
    <xf numFmtId="0" fontId="9" fillId="0" borderId="0"/>
    <xf numFmtId="0" fontId="63" fillId="0" borderId="0"/>
    <xf numFmtId="0" fontId="4" fillId="0" borderId="0"/>
    <xf numFmtId="0" fontId="63" fillId="0" borderId="0"/>
    <xf numFmtId="0" fontId="4" fillId="0" borderId="0"/>
    <xf numFmtId="0" fontId="62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4" fillId="0" borderId="0" applyNumberFormat="0" applyFont="0" applyFill="0" applyBorder="0" applyAlignment="0" applyProtection="0"/>
    <xf numFmtId="0" fontId="73" fillId="0" borderId="0" applyNumberFormat="0" applyFont="0" applyFill="0" applyBorder="0" applyAlignment="0" applyProtection="0"/>
  </cellStyleXfs>
  <cellXfs count="472">
    <xf numFmtId="0" fontId="0" fillId="0" borderId="0" xfId="0"/>
    <xf numFmtId="3" fontId="5" fillId="0" borderId="0" xfId="2" applyNumberFormat="1" applyFont="1" applyAlignment="1">
      <alignment horizontal="right"/>
    </xf>
    <xf numFmtId="14" fontId="5" fillId="0" borderId="0" xfId="2" applyNumberFormat="1" applyFont="1" applyAlignment="1">
      <alignment horizontal="left"/>
    </xf>
    <xf numFmtId="14" fontId="5" fillId="0" borderId="0" xfId="2" applyNumberFormat="1" applyFont="1"/>
    <xf numFmtId="0" fontId="5" fillId="0" borderId="0" xfId="2" applyFont="1"/>
    <xf numFmtId="3" fontId="5" fillId="0" borderId="0" xfId="2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3" fontId="6" fillId="0" borderId="0" xfId="0" applyNumberFormat="1" applyFont="1" applyAlignment="1">
      <alignment horizontal="center"/>
    </xf>
    <xf numFmtId="0" fontId="7" fillId="0" borderId="0" xfId="2" applyFont="1"/>
    <xf numFmtId="0" fontId="7" fillId="0" borderId="0" xfId="2" applyFont="1" applyAlignment="1">
      <alignment wrapText="1"/>
    </xf>
    <xf numFmtId="3" fontId="7" fillId="0" borderId="0" xfId="2" applyNumberFormat="1" applyFont="1"/>
    <xf numFmtId="0" fontId="8" fillId="0" borderId="0" xfId="2" applyFont="1" applyAlignment="1">
      <alignment horizontal="center" wrapText="1"/>
    </xf>
    <xf numFmtId="0" fontId="7" fillId="0" borderId="0" xfId="3" applyFont="1"/>
    <xf numFmtId="0" fontId="7" fillId="0" borderId="0" xfId="2" applyFont="1" applyAlignment="1">
      <alignment horizontal="center"/>
    </xf>
    <xf numFmtId="164" fontId="7" fillId="0" borderId="0" xfId="2" applyNumberFormat="1" applyFont="1" applyAlignment="1">
      <alignment horizontal="left"/>
    </xf>
    <xf numFmtId="3" fontId="7" fillId="0" borderId="0" xfId="2" applyNumberFormat="1" applyFont="1" applyAlignment="1">
      <alignment horizontal="right" wrapText="1"/>
    </xf>
    <xf numFmtId="0" fontId="7" fillId="0" borderId="0" xfId="3" applyFont="1" applyAlignment="1">
      <alignment wrapText="1"/>
    </xf>
    <xf numFmtId="3" fontId="7" fillId="0" borderId="0" xfId="3" applyNumberFormat="1" applyFont="1" applyAlignment="1">
      <alignment horizontal="right" wrapText="1"/>
    </xf>
    <xf numFmtId="2" fontId="13" fillId="0" borderId="0" xfId="2" applyNumberFormat="1" applyFont="1" applyAlignment="1">
      <alignment horizontal="center" wrapText="1"/>
    </xf>
    <xf numFmtId="2" fontId="7" fillId="0" borderId="0" xfId="2" applyNumberFormat="1" applyFont="1" applyAlignment="1">
      <alignment horizontal="center" wrapText="1"/>
    </xf>
    <xf numFmtId="0" fontId="5" fillId="0" borderId="1" xfId="2" applyFont="1" applyBorder="1"/>
    <xf numFmtId="0" fontId="5" fillId="0" borderId="0" xfId="2" applyFont="1" applyAlignment="1">
      <alignment horizontal="left"/>
    </xf>
    <xf numFmtId="0" fontId="5" fillId="0" borderId="0" xfId="2" applyFont="1" applyAlignment="1">
      <alignment horizontal="center"/>
    </xf>
    <xf numFmtId="0" fontId="10" fillId="0" borderId="0" xfId="2" applyFont="1" applyAlignment="1">
      <alignment horizontal="center"/>
    </xf>
    <xf numFmtId="3" fontId="7" fillId="0" borderId="0" xfId="2" applyNumberFormat="1" applyFont="1" applyAlignment="1">
      <alignment horizontal="center"/>
    </xf>
    <xf numFmtId="4" fontId="15" fillId="0" borderId="0" xfId="0" applyNumberFormat="1" applyFont="1" applyAlignment="1" applyProtection="1">
      <alignment vertical="center"/>
      <protection locked="0"/>
    </xf>
    <xf numFmtId="0" fontId="15" fillId="0" borderId="0" xfId="0" applyFont="1"/>
    <xf numFmtId="4" fontId="17" fillId="0" borderId="0" xfId="0" applyNumberFormat="1" applyFont="1"/>
    <xf numFmtId="3" fontId="5" fillId="0" borderId="0" xfId="2" applyNumberFormat="1" applyFont="1" applyAlignment="1">
      <alignment wrapText="1"/>
    </xf>
    <xf numFmtId="4" fontId="14" fillId="0" borderId="0" xfId="0" applyNumberFormat="1" applyFont="1"/>
    <xf numFmtId="4" fontId="10" fillId="0" borderId="0" xfId="0" applyNumberFormat="1" applyFont="1" applyAlignment="1">
      <alignment horizontal="right"/>
    </xf>
    <xf numFmtId="2" fontId="11" fillId="0" borderId="0" xfId="1" applyNumberFormat="1" applyFont="1" applyFill="1" applyBorder="1" applyAlignment="1">
      <alignment horizontal="center"/>
    </xf>
    <xf numFmtId="0" fontId="10" fillId="0" borderId="0" xfId="3" applyFont="1" applyAlignment="1">
      <alignment horizontal="center"/>
    </xf>
    <xf numFmtId="16" fontId="12" fillId="0" borderId="0" xfId="3" applyNumberFormat="1" applyFont="1" applyAlignment="1">
      <alignment horizontal="center"/>
    </xf>
    <xf numFmtId="14" fontId="5" fillId="0" borderId="3" xfId="2" applyNumberFormat="1" applyFont="1" applyBorder="1"/>
    <xf numFmtId="4" fontId="20" fillId="0" borderId="0" xfId="0" applyNumberFormat="1" applyFont="1" applyAlignment="1">
      <alignment horizontal="left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3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left" wrapText="1"/>
    </xf>
    <xf numFmtId="0" fontId="16" fillId="0" borderId="0" xfId="2" applyFont="1"/>
    <xf numFmtId="0" fontId="7" fillId="0" borderId="0" xfId="2" applyFont="1" applyAlignment="1">
      <alignment horizontal="right"/>
    </xf>
    <xf numFmtId="0" fontId="22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4" fillId="0" borderId="0" xfId="0" applyFont="1" applyAlignment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vertical="center"/>
    </xf>
    <xf numFmtId="0" fontId="30" fillId="0" borderId="0" xfId="0" applyFont="1"/>
    <xf numFmtId="0" fontId="31" fillId="0" borderId="0" xfId="0" applyFont="1"/>
    <xf numFmtId="0" fontId="23" fillId="0" borderId="0" xfId="0" applyFont="1" applyAlignment="1">
      <alignment horizontal="left" vertical="center" wrapText="1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2" fillId="0" borderId="0" xfId="0" applyFont="1" applyAlignment="1">
      <alignment horizontal="center"/>
    </xf>
    <xf numFmtId="0" fontId="0" fillId="0" borderId="6" xfId="0" applyBorder="1"/>
    <xf numFmtId="0" fontId="0" fillId="0" borderId="1" xfId="0" applyBorder="1"/>
    <xf numFmtId="0" fontId="0" fillId="0" borderId="9" xfId="0" applyBorder="1"/>
    <xf numFmtId="0" fontId="22" fillId="0" borderId="7" xfId="0" applyFont="1" applyBorder="1" applyAlignment="1">
      <alignment horizontal="left" vertical="center"/>
    </xf>
    <xf numFmtId="0" fontId="0" fillId="0" borderId="10" xfId="0" applyBorder="1"/>
    <xf numFmtId="0" fontId="0" fillId="0" borderId="7" xfId="0" applyBorder="1"/>
    <xf numFmtId="0" fontId="23" fillId="0" borderId="10" xfId="0" applyFont="1" applyBorder="1" applyAlignment="1">
      <alignment horizontal="left" vertical="center" wrapText="1"/>
    </xf>
    <xf numFmtId="0" fontId="25" fillId="0" borderId="7" xfId="0" applyFont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27" fillId="0" borderId="7" xfId="0" applyFont="1" applyBorder="1" applyAlignment="1">
      <alignment horizontal="left" vertical="center"/>
    </xf>
    <xf numFmtId="0" fontId="0" fillId="0" borderId="5" xfId="0" applyBorder="1"/>
    <xf numFmtId="0" fontId="0" fillId="0" borderId="3" xfId="0" applyBorder="1"/>
    <xf numFmtId="0" fontId="0" fillId="0" borderId="11" xfId="0" applyBorder="1"/>
    <xf numFmtId="0" fontId="35" fillId="0" borderId="0" xfId="0" applyFont="1"/>
    <xf numFmtId="0" fontId="29" fillId="0" borderId="10" xfId="0" applyFont="1" applyBorder="1" applyAlignment="1">
      <alignment vertical="center"/>
    </xf>
    <xf numFmtId="0" fontId="7" fillId="0" borderId="1" xfId="2" applyFont="1" applyBorder="1"/>
    <xf numFmtId="0" fontId="28" fillId="0" borderId="7" xfId="0" applyFont="1" applyBorder="1" applyAlignment="1">
      <alignment horizontal="left" vertical="center"/>
    </xf>
    <xf numFmtId="0" fontId="27" fillId="0" borderId="0" xfId="0" applyFont="1" applyAlignment="1">
      <alignment horizontal="right" vertical="center"/>
    </xf>
    <xf numFmtId="0" fontId="7" fillId="0" borderId="3" xfId="2" applyFont="1" applyBorder="1" applyAlignment="1">
      <alignment horizontal="center"/>
    </xf>
    <xf numFmtId="0" fontId="33" fillId="0" borderId="0" xfId="0" applyFont="1" applyAlignment="1">
      <alignment horizontal="center" vertical="center"/>
    </xf>
    <xf numFmtId="0" fontId="24" fillId="0" borderId="8" xfId="0" applyFont="1" applyBorder="1" applyAlignment="1">
      <alignment horizontal="left" vertical="center"/>
    </xf>
    <xf numFmtId="9" fontId="31" fillId="0" borderId="0" xfId="0" applyNumberFormat="1" applyFont="1" applyAlignment="1">
      <alignment horizontal="center"/>
    </xf>
    <xf numFmtId="0" fontId="36" fillId="2" borderId="0" xfId="0" applyFont="1" applyFill="1" applyAlignment="1">
      <alignment vertical="center" wrapText="1"/>
    </xf>
    <xf numFmtId="0" fontId="37" fillId="2" borderId="0" xfId="0" applyFont="1" applyFill="1" applyAlignment="1">
      <alignment horizontal="left" vertical="center" wrapText="1"/>
    </xf>
    <xf numFmtId="0" fontId="36" fillId="2" borderId="0" xfId="0" applyFont="1" applyFill="1" applyAlignment="1">
      <alignment horizontal="right" vertical="center" wrapText="1"/>
    </xf>
    <xf numFmtId="0" fontId="38" fillId="0" borderId="0" xfId="0" applyFont="1"/>
    <xf numFmtId="0" fontId="0" fillId="0" borderId="0" xfId="0" applyAlignment="1">
      <alignment horizontal="center"/>
    </xf>
    <xf numFmtId="166" fontId="36" fillId="2" borderId="0" xfId="0" applyNumberFormat="1" applyFont="1" applyFill="1" applyAlignment="1">
      <alignment horizontal="left" vertical="center" wrapText="1"/>
    </xf>
    <xf numFmtId="167" fontId="24" fillId="0" borderId="0" xfId="0" applyNumberFormat="1" applyFont="1" applyAlignment="1">
      <alignment vertical="center"/>
    </xf>
    <xf numFmtId="0" fontId="41" fillId="0" borderId="0" xfId="0" applyFont="1" applyAlignment="1">
      <alignment horizontal="left" wrapText="1"/>
    </xf>
    <xf numFmtId="0" fontId="41" fillId="0" borderId="0" xfId="0" applyFont="1" applyAlignment="1">
      <alignment horizontal="center"/>
    </xf>
    <xf numFmtId="3" fontId="41" fillId="0" borderId="0" xfId="0" applyNumberFormat="1" applyFont="1" applyAlignment="1">
      <alignment horizontal="center"/>
    </xf>
    <xf numFmtId="3" fontId="19" fillId="0" borderId="0" xfId="3" applyNumberFormat="1" applyFont="1" applyAlignment="1">
      <alignment horizontal="right" wrapText="1"/>
    </xf>
    <xf numFmtId="16" fontId="19" fillId="0" borderId="0" xfId="2" applyNumberFormat="1" applyFont="1" applyAlignment="1">
      <alignment horizontal="left"/>
    </xf>
    <xf numFmtId="0" fontId="19" fillId="0" borderId="0" xfId="3" applyFont="1"/>
    <xf numFmtId="0" fontId="5" fillId="0" borderId="0" xfId="2" applyFont="1" applyAlignment="1">
      <alignment wrapText="1"/>
    </xf>
    <xf numFmtId="0" fontId="44" fillId="0" borderId="1" xfId="0" applyFont="1" applyBorder="1" applyAlignment="1">
      <alignment horizontal="center"/>
    </xf>
    <xf numFmtId="0" fontId="43" fillId="0" borderId="0" xfId="2" applyFont="1"/>
    <xf numFmtId="0" fontId="44" fillId="0" borderId="0" xfId="0" applyFont="1" applyAlignment="1">
      <alignment horizontal="center"/>
    </xf>
    <xf numFmtId="0" fontId="43" fillId="0" borderId="3" xfId="2" applyFont="1" applyBorder="1"/>
    <xf numFmtId="0" fontId="44" fillId="0" borderId="3" xfId="0" applyFont="1" applyBorder="1" applyAlignment="1">
      <alignment horizontal="center"/>
    </xf>
    <xf numFmtId="14" fontId="43" fillId="0" borderId="0" xfId="2" applyNumberFormat="1" applyFont="1"/>
    <xf numFmtId="3" fontId="43" fillId="0" borderId="0" xfId="2" applyNumberFormat="1" applyFont="1" applyAlignment="1">
      <alignment horizontal="right"/>
    </xf>
    <xf numFmtId="3" fontId="43" fillId="0" borderId="0" xfId="2" applyNumberFormat="1" applyFont="1" applyAlignment="1">
      <alignment horizontal="center"/>
    </xf>
    <xf numFmtId="0" fontId="45" fillId="0" borderId="3" xfId="2" applyFont="1" applyBorder="1" applyAlignment="1">
      <alignment horizontal="center"/>
    </xf>
    <xf numFmtId="0" fontId="41" fillId="0" borderId="3" xfId="0" applyFont="1" applyBorder="1" applyAlignment="1">
      <alignment horizontal="left"/>
    </xf>
    <xf numFmtId="0" fontId="42" fillId="0" borderId="3" xfId="2" applyFont="1" applyBorder="1" applyAlignment="1">
      <alignment horizontal="center" wrapText="1"/>
    </xf>
    <xf numFmtId="4" fontId="41" fillId="0" borderId="3" xfId="0" applyNumberFormat="1" applyFont="1" applyBorder="1" applyAlignment="1" applyProtection="1">
      <alignment vertical="center"/>
      <protection locked="0"/>
    </xf>
    <xf numFmtId="0" fontId="44" fillId="0" borderId="5" xfId="0" applyFont="1" applyBorder="1" applyAlignment="1" applyProtection="1">
      <alignment horizontal="center" vertical="center"/>
      <protection locked="0"/>
    </xf>
    <xf numFmtId="0" fontId="44" fillId="0" borderId="2" xfId="0" applyFont="1" applyBorder="1" applyAlignment="1" applyProtection="1">
      <alignment horizontal="left" vertical="center" wrapText="1"/>
      <protection locked="0"/>
    </xf>
    <xf numFmtId="0" fontId="44" fillId="0" borderId="3" xfId="0" applyFont="1" applyBorder="1" applyAlignment="1" applyProtection="1">
      <alignment horizontal="center" vertical="center" wrapText="1"/>
      <protection locked="0"/>
    </xf>
    <xf numFmtId="3" fontId="44" fillId="0" borderId="0" xfId="0" applyNumberFormat="1" applyFont="1" applyAlignment="1" applyProtection="1">
      <alignment horizontal="center" vertical="center"/>
      <protection locked="0"/>
    </xf>
    <xf numFmtId="3" fontId="44" fillId="0" borderId="3" xfId="0" applyNumberFormat="1" applyFont="1" applyBorder="1" applyAlignment="1" applyProtection="1">
      <alignment vertical="center"/>
      <protection locked="0"/>
    </xf>
    <xf numFmtId="0" fontId="44" fillId="0" borderId="2" xfId="0" applyFont="1" applyBorder="1" applyAlignment="1" applyProtection="1">
      <alignment horizontal="center" vertical="center" wrapText="1"/>
      <protection locked="0"/>
    </xf>
    <xf numFmtId="3" fontId="44" fillId="0" borderId="2" xfId="0" applyNumberFormat="1" applyFont="1" applyBorder="1" applyAlignment="1" applyProtection="1">
      <alignment horizontal="center" vertical="center"/>
      <protection locked="0"/>
    </xf>
    <xf numFmtId="3" fontId="44" fillId="0" borderId="2" xfId="0" applyNumberFormat="1" applyFont="1" applyBorder="1" applyAlignment="1" applyProtection="1">
      <alignment vertical="center"/>
      <protection locked="0"/>
    </xf>
    <xf numFmtId="3" fontId="44" fillId="0" borderId="3" xfId="0" applyNumberFormat="1" applyFont="1" applyBorder="1" applyAlignment="1" applyProtection="1">
      <alignment horizontal="center" vertical="center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165" fontId="44" fillId="0" borderId="1" xfId="0" applyNumberFormat="1" applyFont="1" applyBorder="1" applyAlignment="1" applyProtection="1">
      <alignment horizontal="center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3" fontId="44" fillId="0" borderId="1" xfId="0" applyNumberFormat="1" applyFont="1" applyBorder="1" applyAlignment="1" applyProtection="1">
      <alignment horizontal="center" vertical="center"/>
      <protection locked="0"/>
    </xf>
    <xf numFmtId="3" fontId="44" fillId="0" borderId="1" xfId="0" applyNumberFormat="1" applyFont="1" applyBorder="1" applyAlignment="1" applyProtection="1">
      <alignment vertical="center"/>
      <protection locked="0"/>
    </xf>
    <xf numFmtId="0" fontId="46" fillId="0" borderId="5" xfId="0" applyFont="1" applyBorder="1"/>
    <xf numFmtId="0" fontId="41" fillId="0" borderId="3" xfId="0" applyFont="1" applyBorder="1" applyAlignment="1">
      <alignment horizontal="center"/>
    </xf>
    <xf numFmtId="3" fontId="41" fillId="0" borderId="3" xfId="0" applyNumberFormat="1" applyFont="1" applyBorder="1" applyAlignment="1">
      <alignment horizontal="center"/>
    </xf>
    <xf numFmtId="3" fontId="41" fillId="0" borderId="0" xfId="0" applyNumberFormat="1" applyFont="1"/>
    <xf numFmtId="0" fontId="44" fillId="0" borderId="4" xfId="0" applyFont="1" applyBorder="1" applyAlignment="1" applyProtection="1">
      <alignment horizontal="center" vertical="center"/>
      <protection locked="0"/>
    </xf>
    <xf numFmtId="14" fontId="44" fillId="0" borderId="4" xfId="0" applyNumberFormat="1" applyFont="1" applyBorder="1" applyAlignment="1" applyProtection="1">
      <alignment horizontal="center" vertical="center"/>
      <protection locked="0"/>
    </xf>
    <xf numFmtId="165" fontId="44" fillId="0" borderId="2" xfId="0" applyNumberFormat="1" applyFont="1" applyBorder="1" applyAlignment="1" applyProtection="1">
      <alignment horizontal="center" vertical="center"/>
      <protection locked="0"/>
    </xf>
    <xf numFmtId="2" fontId="42" fillId="0" borderId="1" xfId="2" applyNumberFormat="1" applyFont="1" applyBorder="1" applyAlignment="1">
      <alignment horizontal="center" wrapText="1"/>
    </xf>
    <xf numFmtId="1" fontId="42" fillId="0" borderId="1" xfId="2" applyNumberFormat="1" applyFont="1" applyBorder="1" applyAlignment="1">
      <alignment horizontal="center" wrapText="1"/>
    </xf>
    <xf numFmtId="0" fontId="42" fillId="0" borderId="1" xfId="2" applyFont="1" applyBorder="1" applyAlignment="1">
      <alignment horizontal="center"/>
    </xf>
    <xf numFmtId="0" fontId="44" fillId="0" borderId="0" xfId="0" applyFont="1" applyAlignment="1" applyProtection="1">
      <alignment horizontal="center" vertical="center"/>
      <protection locked="0"/>
    </xf>
    <xf numFmtId="0" fontId="44" fillId="0" borderId="0" xfId="0" applyFont="1" applyAlignment="1" applyProtection="1">
      <alignment horizontal="left" vertical="center" wrapText="1"/>
      <protection locked="0"/>
    </xf>
    <xf numFmtId="0" fontId="44" fillId="0" borderId="0" xfId="0" applyFont="1" applyAlignment="1" applyProtection="1">
      <alignment horizontal="center" vertical="center" wrapText="1"/>
      <protection locked="0"/>
    </xf>
    <xf numFmtId="0" fontId="42" fillId="0" borderId="0" xfId="2" applyFont="1"/>
    <xf numFmtId="3" fontId="44" fillId="0" borderId="0" xfId="0" applyNumberFormat="1" applyFont="1" applyAlignment="1" applyProtection="1">
      <alignment vertical="center"/>
      <protection locked="0"/>
    </xf>
    <xf numFmtId="0" fontId="47" fillId="0" borderId="5" xfId="0" applyFont="1" applyBorder="1"/>
    <xf numFmtId="0" fontId="43" fillId="0" borderId="3" xfId="0" applyFont="1" applyBorder="1" applyAlignment="1">
      <alignment horizontal="left"/>
    </xf>
    <xf numFmtId="0" fontId="43" fillId="0" borderId="3" xfId="0" applyFont="1" applyBorder="1" applyAlignment="1">
      <alignment horizontal="center"/>
    </xf>
    <xf numFmtId="3" fontId="43" fillId="0" borderId="3" xfId="0" applyNumberFormat="1" applyFont="1" applyBorder="1" applyAlignment="1">
      <alignment horizontal="center"/>
    </xf>
    <xf numFmtId="0" fontId="44" fillId="0" borderId="6" xfId="0" applyFont="1" applyBorder="1" applyAlignment="1" applyProtection="1">
      <alignment horizontal="center" vertical="center"/>
      <protection locked="0"/>
    </xf>
    <xf numFmtId="0" fontId="47" fillId="0" borderId="7" xfId="0" applyFont="1" applyBorder="1"/>
    <xf numFmtId="0" fontId="41" fillId="0" borderId="0" xfId="0" applyFont="1" applyAlignment="1">
      <alignment horizontal="left"/>
    </xf>
    <xf numFmtId="0" fontId="45" fillId="0" borderId="0" xfId="0" applyFont="1" applyAlignment="1">
      <alignment horizontal="left"/>
    </xf>
    <xf numFmtId="3" fontId="45" fillId="0" borderId="0" xfId="0" applyNumberFormat="1" applyFont="1" applyAlignment="1">
      <alignment horizontal="center"/>
    </xf>
    <xf numFmtId="0" fontId="43" fillId="0" borderId="1" xfId="2" applyFont="1" applyBorder="1" applyAlignment="1">
      <alignment horizontal="left"/>
    </xf>
    <xf numFmtId="0" fontId="45" fillId="0" borderId="2" xfId="0" applyFont="1" applyBorder="1" applyAlignment="1">
      <alignment horizontal="left"/>
    </xf>
    <xf numFmtId="3" fontId="45" fillId="0" borderId="2" xfId="0" applyNumberFormat="1" applyFont="1" applyBorder="1" applyAlignment="1">
      <alignment horizontal="center"/>
    </xf>
    <xf numFmtId="3" fontId="41" fillId="0" borderId="2" xfId="0" applyNumberFormat="1" applyFont="1" applyBorder="1"/>
    <xf numFmtId="0" fontId="46" fillId="0" borderId="0" xfId="0" applyFont="1"/>
    <xf numFmtId="0" fontId="45" fillId="0" borderId="3" xfId="0" applyFont="1" applyBorder="1" applyAlignment="1">
      <alignment horizontal="left"/>
    </xf>
    <xf numFmtId="0" fontId="48" fillId="0" borderId="3" xfId="0" applyFont="1" applyBorder="1" applyAlignment="1">
      <alignment horizontal="left"/>
    </xf>
    <xf numFmtId="3" fontId="48" fillId="0" borderId="3" xfId="0" applyNumberFormat="1" applyFont="1" applyBorder="1" applyAlignment="1">
      <alignment horizontal="center"/>
    </xf>
    <xf numFmtId="3" fontId="45" fillId="0" borderId="3" xfId="0" applyNumberFormat="1" applyFont="1" applyBorder="1" applyAlignment="1">
      <alignment horizontal="right"/>
    </xf>
    <xf numFmtId="0" fontId="47" fillId="0" borderId="0" xfId="0" applyFont="1"/>
    <xf numFmtId="3" fontId="45" fillId="0" borderId="3" xfId="0" applyNumberFormat="1" applyFont="1" applyBorder="1" applyAlignment="1">
      <alignment horizontal="center"/>
    </xf>
    <xf numFmtId="3" fontId="42" fillId="0" borderId="0" xfId="2" applyNumberFormat="1" applyFont="1"/>
    <xf numFmtId="0" fontId="42" fillId="0" borderId="0" xfId="2" applyFont="1" applyAlignment="1">
      <alignment horizontal="center"/>
    </xf>
    <xf numFmtId="3" fontId="42" fillId="0" borderId="0" xfId="2" applyNumberFormat="1" applyFont="1" applyAlignment="1">
      <alignment horizontal="center"/>
    </xf>
    <xf numFmtId="0" fontId="42" fillId="0" borderId="0" xfId="2" applyFont="1" applyAlignment="1">
      <alignment wrapText="1"/>
    </xf>
    <xf numFmtId="0" fontId="42" fillId="0" borderId="1" xfId="2" applyFont="1" applyBorder="1"/>
    <xf numFmtId="3" fontId="42" fillId="0" borderId="1" xfId="2" applyNumberFormat="1" applyFont="1" applyBorder="1" applyAlignment="1">
      <alignment horizontal="right" wrapText="1"/>
    </xf>
    <xf numFmtId="3" fontId="42" fillId="0" borderId="0" xfId="2" applyNumberFormat="1" applyFont="1" applyAlignment="1">
      <alignment horizontal="right" wrapText="1"/>
    </xf>
    <xf numFmtId="0" fontId="42" fillId="0" borderId="3" xfId="2" applyFont="1" applyBorder="1"/>
    <xf numFmtId="3" fontId="42" fillId="0" borderId="3" xfId="2" applyNumberFormat="1" applyFont="1" applyBorder="1" applyAlignment="1">
      <alignment horizontal="right"/>
    </xf>
    <xf numFmtId="3" fontId="42" fillId="0" borderId="3" xfId="2" applyNumberFormat="1" applyFont="1" applyBorder="1" applyAlignment="1">
      <alignment horizontal="center"/>
    </xf>
    <xf numFmtId="3" fontId="42" fillId="0" borderId="0" xfId="2" applyNumberFormat="1" applyFont="1" applyAlignment="1">
      <alignment horizontal="center" wrapText="1"/>
    </xf>
    <xf numFmtId="14" fontId="42" fillId="0" borderId="3" xfId="2" applyNumberFormat="1" applyFont="1" applyBorder="1" applyAlignment="1">
      <alignment horizontal="left"/>
    </xf>
    <xf numFmtId="0" fontId="42" fillId="0" borderId="3" xfId="2" applyFont="1" applyBorder="1" applyAlignment="1">
      <alignment horizontal="center"/>
    </xf>
    <xf numFmtId="3" fontId="9" fillId="0" borderId="0" xfId="2" applyNumberFormat="1" applyFont="1"/>
    <xf numFmtId="0" fontId="50" fillId="0" borderId="0" xfId="2" applyFont="1" applyAlignment="1">
      <alignment horizontal="left" wrapText="1"/>
    </xf>
    <xf numFmtId="3" fontId="50" fillId="0" borderId="0" xfId="2" applyNumberFormat="1" applyFont="1"/>
    <xf numFmtId="0" fontId="9" fillId="0" borderId="0" xfId="3" applyAlignment="1">
      <alignment wrapText="1"/>
    </xf>
    <xf numFmtId="0" fontId="9" fillId="0" borderId="0" xfId="2" applyFont="1"/>
    <xf numFmtId="2" fontId="42" fillId="0" borderId="2" xfId="2" applyNumberFormat="1" applyFont="1" applyBorder="1" applyAlignment="1">
      <alignment horizontal="center" wrapText="1"/>
    </xf>
    <xf numFmtId="1" fontId="42" fillId="0" borderId="2" xfId="2" applyNumberFormat="1" applyFont="1" applyBorder="1" applyAlignment="1">
      <alignment horizontal="center" wrapText="1"/>
    </xf>
    <xf numFmtId="0" fontId="42" fillId="0" borderId="2" xfId="2" applyFont="1" applyBorder="1" applyAlignment="1">
      <alignment horizontal="center"/>
    </xf>
    <xf numFmtId="3" fontId="9" fillId="0" borderId="0" xfId="3" applyNumberFormat="1" applyAlignment="1">
      <alignment horizontal="right" wrapText="1"/>
    </xf>
    <xf numFmtId="3" fontId="42" fillId="0" borderId="1" xfId="2" applyNumberFormat="1" applyFont="1" applyBorder="1" applyAlignment="1">
      <alignment horizontal="center" wrapText="1"/>
    </xf>
    <xf numFmtId="14" fontId="42" fillId="0" borderId="3" xfId="2" applyNumberFormat="1" applyFont="1" applyBorder="1"/>
    <xf numFmtId="0" fontId="42" fillId="0" borderId="0" xfId="3" applyFont="1"/>
    <xf numFmtId="0" fontId="53" fillId="0" borderId="0" xfId="2" applyFont="1" applyAlignment="1">
      <alignment horizontal="center" wrapText="1"/>
    </xf>
    <xf numFmtId="0" fontId="49" fillId="0" borderId="0" xfId="2" applyFont="1" applyAlignment="1">
      <alignment horizontal="center"/>
    </xf>
    <xf numFmtId="0" fontId="54" fillId="0" borderId="0" xfId="2" applyFont="1" applyAlignment="1">
      <alignment horizontal="center" wrapText="1"/>
    </xf>
    <xf numFmtId="14" fontId="42" fillId="0" borderId="0" xfId="2" applyNumberFormat="1" applyFont="1" applyAlignment="1">
      <alignment horizontal="left"/>
    </xf>
    <xf numFmtId="0" fontId="48" fillId="0" borderId="0" xfId="2" applyFont="1" applyAlignment="1">
      <alignment horizontal="center"/>
    </xf>
    <xf numFmtId="2" fontId="56" fillId="0" borderId="0" xfId="8" applyNumberFormat="1" applyFont="1" applyFill="1" applyBorder="1" applyAlignment="1">
      <alignment horizontal="center"/>
    </xf>
    <xf numFmtId="16" fontId="57" fillId="0" borderId="0" xfId="2" applyNumberFormat="1" applyFont="1" applyAlignment="1">
      <alignment horizontal="left"/>
    </xf>
    <xf numFmtId="0" fontId="9" fillId="0" borderId="0" xfId="3"/>
    <xf numFmtId="164" fontId="42" fillId="0" borderId="0" xfId="2" applyNumberFormat="1" applyFont="1" applyAlignment="1">
      <alignment horizontal="left"/>
    </xf>
    <xf numFmtId="0" fontId="42" fillId="0" borderId="0" xfId="3" applyFont="1" applyAlignment="1">
      <alignment horizontal="center"/>
    </xf>
    <xf numFmtId="0" fontId="42" fillId="0" borderId="0" xfId="3" applyFont="1" applyAlignment="1">
      <alignment wrapText="1"/>
    </xf>
    <xf numFmtId="3" fontId="42" fillId="0" borderId="0" xfId="3" applyNumberFormat="1" applyFont="1" applyAlignment="1">
      <alignment horizontal="right" wrapText="1"/>
    </xf>
    <xf numFmtId="0" fontId="48" fillId="0" borderId="0" xfId="3" applyFont="1" applyAlignment="1">
      <alignment horizontal="center"/>
    </xf>
    <xf numFmtId="0" fontId="57" fillId="0" borderId="0" xfId="3" applyFont="1" applyAlignment="1">
      <alignment wrapText="1"/>
    </xf>
    <xf numFmtId="3" fontId="57" fillId="0" borderId="0" xfId="3" applyNumberFormat="1" applyFont="1" applyAlignment="1">
      <alignment horizontal="right" wrapText="1"/>
    </xf>
    <xf numFmtId="16" fontId="58" fillId="0" borderId="0" xfId="3" applyNumberFormat="1" applyFont="1" applyAlignment="1">
      <alignment horizontal="center"/>
    </xf>
    <xf numFmtId="2" fontId="59" fillId="0" borderId="0" xfId="2" applyNumberFormat="1" applyFont="1" applyAlignment="1">
      <alignment horizontal="center" wrapText="1"/>
    </xf>
    <xf numFmtId="0" fontId="57" fillId="0" borderId="0" xfId="2" applyFont="1"/>
    <xf numFmtId="0" fontId="57" fillId="0" borderId="0" xfId="2" applyFont="1" applyAlignment="1">
      <alignment horizontal="left" wrapText="1"/>
    </xf>
    <xf numFmtId="0" fontId="48" fillId="0" borderId="0" xfId="9" applyFont="1" applyAlignment="1">
      <alignment horizontal="center"/>
    </xf>
    <xf numFmtId="0" fontId="48" fillId="0" borderId="0" xfId="9" applyFont="1" applyAlignment="1">
      <alignment horizontal="center" wrapText="1"/>
    </xf>
    <xf numFmtId="3" fontId="48" fillId="0" borderId="0" xfId="9" applyNumberFormat="1" applyFont="1" applyAlignment="1">
      <alignment horizontal="center"/>
    </xf>
    <xf numFmtId="0" fontId="10" fillId="0" borderId="0" xfId="2" applyFont="1" applyAlignment="1">
      <alignment wrapText="1"/>
    </xf>
    <xf numFmtId="0" fontId="7" fillId="0" borderId="0" xfId="2" applyFont="1" applyAlignment="1">
      <alignment horizontal="center" wrapText="1"/>
    </xf>
    <xf numFmtId="3" fontId="60" fillId="0" borderId="0" xfId="8" applyNumberFormat="1" applyFont="1" applyFill="1" applyBorder="1" applyAlignment="1">
      <alignment horizontal="center" vertical="center" wrapText="1"/>
    </xf>
    <xf numFmtId="16" fontId="7" fillId="0" borderId="0" xfId="2" applyNumberFormat="1" applyFont="1" applyAlignment="1">
      <alignment horizontal="center"/>
    </xf>
    <xf numFmtId="164" fontId="7" fillId="0" borderId="0" xfId="2" applyNumberFormat="1" applyFont="1" applyAlignment="1">
      <alignment horizontal="left" wrapText="1"/>
    </xf>
    <xf numFmtId="1" fontId="7" fillId="0" borderId="0" xfId="2" applyNumberFormat="1" applyFont="1" applyAlignment="1">
      <alignment horizontal="center" wrapText="1"/>
    </xf>
    <xf numFmtId="3" fontId="7" fillId="0" borderId="0" xfId="3" applyNumberFormat="1" applyFont="1" applyAlignment="1">
      <alignment wrapText="1"/>
    </xf>
    <xf numFmtId="3" fontId="7" fillId="0" borderId="0" xfId="2" applyNumberFormat="1" applyFont="1" applyAlignment="1">
      <alignment wrapText="1"/>
    </xf>
    <xf numFmtId="3" fontId="7" fillId="0" borderId="0" xfId="3" applyNumberFormat="1" applyFont="1" applyAlignment="1">
      <alignment horizontal="center" wrapText="1"/>
    </xf>
    <xf numFmtId="164" fontId="42" fillId="0" borderId="0" xfId="2" applyNumberFormat="1" applyFont="1" applyAlignment="1">
      <alignment horizontal="left" wrapText="1"/>
    </xf>
    <xf numFmtId="0" fontId="18" fillId="0" borderId="0" xfId="9" applyFont="1" applyAlignment="1">
      <alignment horizontal="center"/>
    </xf>
    <xf numFmtId="0" fontId="18" fillId="0" borderId="0" xfId="9" applyFont="1" applyAlignment="1">
      <alignment horizontal="center" wrapText="1"/>
    </xf>
    <xf numFmtId="3" fontId="18" fillId="0" borderId="0" xfId="9" applyNumberFormat="1" applyFont="1" applyAlignment="1">
      <alignment horizontal="center"/>
    </xf>
    <xf numFmtId="0" fontId="48" fillId="0" borderId="12" xfId="2" applyFont="1" applyBorder="1" applyAlignment="1">
      <alignment horizontal="center"/>
    </xf>
    <xf numFmtId="0" fontId="48" fillId="0" borderId="12" xfId="2" applyFont="1" applyBorder="1" applyAlignment="1">
      <alignment wrapText="1"/>
    </xf>
    <xf numFmtId="0" fontId="42" fillId="0" borderId="12" xfId="2" applyFont="1" applyBorder="1" applyAlignment="1">
      <alignment horizontal="center" wrapText="1"/>
    </xf>
    <xf numFmtId="3" fontId="42" fillId="0" borderId="13" xfId="8" applyNumberFormat="1" applyFont="1" applyFill="1" applyBorder="1" applyAlignment="1">
      <alignment horizontal="center" vertical="center" wrapText="1"/>
    </xf>
    <xf numFmtId="0" fontId="48" fillId="0" borderId="0" xfId="2" applyFont="1" applyAlignment="1">
      <alignment wrapText="1"/>
    </xf>
    <xf numFmtId="0" fontId="42" fillId="0" borderId="0" xfId="2" applyFont="1" applyAlignment="1">
      <alignment horizontal="center" wrapText="1"/>
    </xf>
    <xf numFmtId="3" fontId="42" fillId="0" borderId="0" xfId="8" applyNumberFormat="1" applyFont="1" applyFill="1" applyBorder="1" applyAlignment="1">
      <alignment horizontal="center" vertical="center" wrapText="1"/>
    </xf>
    <xf numFmtId="16" fontId="42" fillId="0" borderId="14" xfId="2" applyNumberFormat="1" applyFont="1" applyBorder="1" applyAlignment="1">
      <alignment horizontal="center"/>
    </xf>
    <xf numFmtId="164" fontId="42" fillId="0" borderId="15" xfId="2" applyNumberFormat="1" applyFont="1" applyBorder="1" applyAlignment="1">
      <alignment horizontal="left" wrapText="1"/>
    </xf>
    <xf numFmtId="1" fontId="42" fillId="0" borderId="15" xfId="2" applyNumberFormat="1" applyFont="1" applyBorder="1" applyAlignment="1">
      <alignment horizontal="center" wrapText="1"/>
    </xf>
    <xf numFmtId="2" fontId="42" fillId="0" borderId="15" xfId="2" applyNumberFormat="1" applyFont="1" applyBorder="1" applyAlignment="1">
      <alignment horizontal="center" wrapText="1"/>
    </xf>
    <xf numFmtId="3" fontId="42" fillId="0" borderId="15" xfId="3" applyNumberFormat="1" applyFont="1" applyBorder="1" applyAlignment="1">
      <alignment wrapText="1"/>
    </xf>
    <xf numFmtId="164" fontId="42" fillId="0" borderId="2" xfId="2" applyNumberFormat="1" applyFont="1" applyBorder="1" applyAlignment="1">
      <alignment horizontal="left"/>
    </xf>
    <xf numFmtId="3" fontId="42" fillId="0" borderId="2" xfId="2" applyNumberFormat="1" applyFont="1" applyBorder="1" applyAlignment="1">
      <alignment wrapText="1"/>
    </xf>
    <xf numFmtId="3" fontId="42" fillId="0" borderId="2" xfId="3" applyNumberFormat="1" applyFont="1" applyBorder="1" applyAlignment="1">
      <alignment wrapText="1"/>
    </xf>
    <xf numFmtId="16" fontId="42" fillId="0" borderId="15" xfId="2" applyNumberFormat="1" applyFont="1" applyBorder="1" applyAlignment="1">
      <alignment horizontal="center"/>
    </xf>
    <xf numFmtId="0" fontId="42" fillId="0" borderId="2" xfId="2" applyFont="1" applyBorder="1"/>
    <xf numFmtId="0" fontId="42" fillId="0" borderId="1" xfId="2" applyFont="1" applyBorder="1" applyAlignment="1">
      <alignment wrapText="1"/>
    </xf>
    <xf numFmtId="1" fontId="42" fillId="0" borderId="0" xfId="2" applyNumberFormat="1" applyFont="1" applyAlignment="1">
      <alignment horizontal="center" wrapText="1"/>
    </xf>
    <xf numFmtId="2" fontId="42" fillId="0" borderId="0" xfId="2" applyNumberFormat="1" applyFont="1" applyAlignment="1">
      <alignment horizontal="center" wrapText="1"/>
    </xf>
    <xf numFmtId="3" fontId="42" fillId="0" borderId="0" xfId="3" applyNumberFormat="1" applyFont="1" applyAlignment="1">
      <alignment wrapText="1"/>
    </xf>
    <xf numFmtId="16" fontId="42" fillId="0" borderId="16" xfId="2" applyNumberFormat="1" applyFont="1" applyBorder="1" applyAlignment="1">
      <alignment horizontal="center"/>
    </xf>
    <xf numFmtId="3" fontId="42" fillId="0" borderId="1" xfId="3" applyNumberFormat="1" applyFont="1" applyBorder="1" applyAlignment="1">
      <alignment wrapText="1"/>
    </xf>
    <xf numFmtId="16" fontId="42" fillId="0" borderId="0" xfId="2" applyNumberFormat="1" applyFont="1" applyAlignment="1">
      <alignment horizontal="center"/>
    </xf>
    <xf numFmtId="16" fontId="42" fillId="0" borderId="1" xfId="2" applyNumberFormat="1" applyFont="1" applyBorder="1" applyAlignment="1">
      <alignment horizontal="center"/>
    </xf>
    <xf numFmtId="0" fontId="48" fillId="0" borderId="0" xfId="2" applyFont="1" applyAlignment="1">
      <alignment horizontal="center" vertical="center"/>
    </xf>
    <xf numFmtId="0" fontId="3" fillId="0" borderId="0" xfId="4" applyAlignment="1" applyProtection="1">
      <alignment horizontal="left" vertical="center" wrapText="1"/>
      <protection locked="0"/>
    </xf>
    <xf numFmtId="3" fontId="7" fillId="0" borderId="0" xfId="2" applyNumberFormat="1" applyFont="1" applyAlignment="1">
      <alignment horizontal="center" wrapText="1"/>
    </xf>
    <xf numFmtId="0" fontId="3" fillId="0" borderId="0" xfId="4" applyAlignment="1" applyProtection="1">
      <alignment horizontal="center" vertical="center" wrapText="1"/>
      <protection locked="0"/>
    </xf>
    <xf numFmtId="2" fontId="42" fillId="0" borderId="17" xfId="2" applyNumberFormat="1" applyFont="1" applyBorder="1" applyAlignment="1">
      <alignment horizontal="center" wrapText="1"/>
    </xf>
    <xf numFmtId="0" fontId="42" fillId="0" borderId="17" xfId="2" applyFont="1" applyBorder="1" applyAlignment="1">
      <alignment wrapText="1"/>
    </xf>
    <xf numFmtId="0" fontId="42" fillId="0" borderId="17" xfId="2" applyFont="1" applyBorder="1" applyAlignment="1">
      <alignment horizontal="center"/>
    </xf>
    <xf numFmtId="3" fontId="42" fillId="0" borderId="17" xfId="2" applyNumberFormat="1" applyFont="1" applyBorder="1" applyAlignment="1">
      <alignment horizontal="center"/>
    </xf>
    <xf numFmtId="3" fontId="42" fillId="0" borderId="14" xfId="3" applyNumberFormat="1" applyFont="1" applyBorder="1" applyAlignment="1">
      <alignment horizontal="center" wrapText="1"/>
    </xf>
    <xf numFmtId="3" fontId="3" fillId="0" borderId="0" xfId="5" applyNumberFormat="1" applyAlignment="1" applyProtection="1">
      <alignment horizontal="center" vertical="center"/>
      <protection locked="0"/>
    </xf>
    <xf numFmtId="2" fontId="42" fillId="0" borderId="18" xfId="2" applyNumberFormat="1" applyFont="1" applyBorder="1" applyAlignment="1">
      <alignment horizontal="center" wrapText="1"/>
    </xf>
    <xf numFmtId="0" fontId="3" fillId="0" borderId="0" xfId="6" applyAlignment="1" applyProtection="1">
      <alignment horizontal="left" vertical="center" wrapText="1"/>
      <protection locked="0"/>
    </xf>
    <xf numFmtId="1" fontId="3" fillId="0" borderId="0" xfId="6" applyNumberFormat="1" applyAlignment="1" applyProtection="1">
      <alignment horizontal="center" vertical="center"/>
      <protection locked="0"/>
    </xf>
    <xf numFmtId="0" fontId="3" fillId="0" borderId="0" xfId="6" applyAlignment="1" applyProtection="1">
      <alignment horizontal="center" vertical="center" wrapText="1"/>
      <protection locked="0"/>
    </xf>
    <xf numFmtId="2" fontId="42" fillId="0" borderId="14" xfId="2" applyNumberFormat="1" applyFont="1" applyBorder="1" applyAlignment="1">
      <alignment horizontal="center" wrapText="1"/>
    </xf>
    <xf numFmtId="0" fontId="42" fillId="0" borderId="14" xfId="2" applyFont="1" applyBorder="1" applyAlignment="1">
      <alignment wrapText="1"/>
    </xf>
    <xf numFmtId="1" fontId="42" fillId="0" borderId="14" xfId="2" applyNumberFormat="1" applyFont="1" applyBorder="1" applyAlignment="1">
      <alignment horizontal="center" wrapText="1"/>
    </xf>
    <xf numFmtId="0" fontId="42" fillId="0" borderId="16" xfId="2" applyFont="1" applyBorder="1" applyAlignment="1">
      <alignment wrapText="1"/>
    </xf>
    <xf numFmtId="0" fontId="42" fillId="0" borderId="18" xfId="2" applyFont="1" applyBorder="1" applyAlignment="1">
      <alignment wrapText="1"/>
    </xf>
    <xf numFmtId="3" fontId="42" fillId="0" borderId="15" xfId="3" applyNumberFormat="1" applyFont="1" applyBorder="1" applyAlignment="1">
      <alignment horizontal="center" wrapText="1"/>
    </xf>
    <xf numFmtId="3" fontId="42" fillId="0" borderId="2" xfId="3" applyNumberFormat="1" applyFont="1" applyBorder="1" applyAlignment="1">
      <alignment horizontal="center" wrapText="1"/>
    </xf>
    <xf numFmtId="3" fontId="42" fillId="0" borderId="0" xfId="3" applyNumberFormat="1" applyFont="1" applyAlignment="1">
      <alignment horizontal="center" wrapText="1"/>
    </xf>
    <xf numFmtId="0" fontId="48" fillId="0" borderId="3" xfId="2" applyFont="1" applyBorder="1" applyAlignment="1">
      <alignment horizontal="center"/>
    </xf>
    <xf numFmtId="0" fontId="48" fillId="0" borderId="3" xfId="2" applyFont="1" applyBorder="1" applyAlignment="1">
      <alignment wrapText="1"/>
    </xf>
    <xf numFmtId="1" fontId="42" fillId="0" borderId="18" xfId="2" applyNumberFormat="1" applyFont="1" applyBorder="1" applyAlignment="1">
      <alignment horizontal="center" wrapText="1"/>
    </xf>
    <xf numFmtId="3" fontId="42" fillId="0" borderId="18" xfId="3" applyNumberFormat="1" applyFont="1" applyBorder="1" applyAlignment="1">
      <alignment horizontal="center" wrapText="1"/>
    </xf>
    <xf numFmtId="0" fontId="42" fillId="0" borderId="17" xfId="2" applyFont="1" applyBorder="1" applyAlignment="1">
      <alignment horizontal="center" wrapText="1"/>
    </xf>
    <xf numFmtId="2" fontId="42" fillId="0" borderId="16" xfId="2" applyNumberFormat="1" applyFont="1" applyBorder="1" applyAlignment="1">
      <alignment horizontal="center" wrapText="1"/>
    </xf>
    <xf numFmtId="0" fontId="42" fillId="0" borderId="15" xfId="2" applyFont="1" applyBorder="1" applyAlignment="1">
      <alignment wrapText="1"/>
    </xf>
    <xf numFmtId="3" fontId="42" fillId="0" borderId="1" xfId="2" applyNumberFormat="1" applyFont="1" applyBorder="1" applyAlignment="1">
      <alignment horizontal="center"/>
    </xf>
    <xf numFmtId="0" fontId="42" fillId="0" borderId="2" xfId="2" applyFont="1" applyBorder="1" applyAlignment="1">
      <alignment wrapText="1"/>
    </xf>
    <xf numFmtId="0" fontId="42" fillId="0" borderId="3" xfId="2" applyFont="1" applyBorder="1" applyAlignment="1">
      <alignment wrapText="1"/>
    </xf>
    <xf numFmtId="1" fontId="7" fillId="0" borderId="0" xfId="3" applyNumberFormat="1" applyFont="1" applyAlignment="1">
      <alignment horizontal="center" vertical="center" wrapText="1"/>
    </xf>
    <xf numFmtId="2" fontId="7" fillId="0" borderId="0" xfId="3" applyNumberFormat="1" applyFont="1" applyAlignment="1">
      <alignment horizontal="center" wrapText="1"/>
    </xf>
    <xf numFmtId="3" fontId="7" fillId="0" borderId="0" xfId="3" applyNumberFormat="1" applyFont="1" applyAlignment="1">
      <alignment horizontal="center" vertical="top" wrapText="1"/>
    </xf>
    <xf numFmtId="16" fontId="10" fillId="0" borderId="0" xfId="3" applyNumberFormat="1" applyFont="1" applyAlignment="1">
      <alignment horizontal="center"/>
    </xf>
    <xf numFmtId="0" fontId="10" fillId="0" borderId="0" xfId="3" applyFont="1" applyAlignment="1">
      <alignment wrapText="1"/>
    </xf>
    <xf numFmtId="0" fontId="7" fillId="0" borderId="0" xfId="3" applyFont="1" applyAlignment="1">
      <alignment horizontal="center"/>
    </xf>
    <xf numFmtId="0" fontId="7" fillId="0" borderId="0" xfId="3" applyFont="1" applyAlignment="1">
      <alignment horizontal="center" wrapText="1"/>
    </xf>
    <xf numFmtId="3" fontId="42" fillId="0" borderId="2" xfId="2" applyNumberFormat="1" applyFont="1" applyBorder="1" applyAlignment="1">
      <alignment horizontal="center"/>
    </xf>
    <xf numFmtId="2" fontId="42" fillId="0" borderId="3" xfId="2" applyNumberFormat="1" applyFont="1" applyBorder="1" applyAlignment="1">
      <alignment horizontal="center" wrapText="1"/>
    </xf>
    <xf numFmtId="3" fontId="42" fillId="0" borderId="2" xfId="2" applyNumberFormat="1" applyFont="1" applyBorder="1" applyAlignment="1">
      <alignment horizontal="center" wrapText="1"/>
    </xf>
    <xf numFmtId="0" fontId="44" fillId="0" borderId="19" xfId="4" applyFont="1" applyBorder="1" applyAlignment="1" applyProtection="1">
      <alignment horizontal="center" vertical="center" wrapText="1"/>
      <protection locked="0"/>
    </xf>
    <xf numFmtId="0" fontId="42" fillId="0" borderId="2" xfId="2" applyFont="1" applyBorder="1" applyAlignment="1">
      <alignment horizontal="center" wrapText="1"/>
    </xf>
    <xf numFmtId="0" fontId="7" fillId="0" borderId="2" xfId="2" applyFont="1" applyBorder="1" applyAlignment="1">
      <alignment wrapText="1"/>
    </xf>
    <xf numFmtId="1" fontId="44" fillId="0" borderId="19" xfId="6" applyNumberFormat="1" applyFont="1" applyBorder="1" applyAlignment="1" applyProtection="1">
      <alignment horizontal="center" vertical="center"/>
      <protection locked="0"/>
    </xf>
    <xf numFmtId="0" fontId="44" fillId="0" borderId="19" xfId="6" applyFont="1" applyBorder="1" applyAlignment="1" applyProtection="1">
      <alignment horizontal="center" vertical="center" wrapText="1"/>
      <protection locked="0"/>
    </xf>
    <xf numFmtId="3" fontId="44" fillId="0" borderId="19" xfId="5" applyNumberFormat="1" applyFont="1" applyBorder="1" applyAlignment="1" applyProtection="1">
      <alignment horizontal="center" vertical="center"/>
      <protection locked="0"/>
    </xf>
    <xf numFmtId="0" fontId="44" fillId="0" borderId="0" xfId="6" applyFont="1" applyAlignment="1" applyProtection="1">
      <alignment horizontal="left" vertical="center" wrapText="1"/>
      <protection locked="0"/>
    </xf>
    <xf numFmtId="1" fontId="44" fillId="0" borderId="1" xfId="6" applyNumberFormat="1" applyFont="1" applyBorder="1" applyAlignment="1" applyProtection="1">
      <alignment horizontal="center" vertical="center"/>
      <protection locked="0"/>
    </xf>
    <xf numFmtId="0" fontId="44" fillId="0" borderId="1" xfId="6" applyFont="1" applyBorder="1" applyAlignment="1" applyProtection="1">
      <alignment horizontal="center" vertical="center" wrapText="1"/>
      <protection locked="0"/>
    </xf>
    <xf numFmtId="3" fontId="44" fillId="0" borderId="1" xfId="5" applyNumberFormat="1" applyFont="1" applyBorder="1" applyAlignment="1" applyProtection="1">
      <alignment horizontal="center" vertical="center"/>
      <protection locked="0"/>
    </xf>
    <xf numFmtId="1" fontId="44" fillId="0" borderId="3" xfId="6" applyNumberFormat="1" applyFont="1" applyBorder="1" applyAlignment="1" applyProtection="1">
      <alignment horizontal="center" vertical="center"/>
      <protection locked="0"/>
    </xf>
    <xf numFmtId="0" fontId="44" fillId="0" borderId="3" xfId="6" applyFont="1" applyBorder="1" applyAlignment="1" applyProtection="1">
      <alignment horizontal="center" vertical="center" wrapText="1"/>
      <protection locked="0"/>
    </xf>
    <xf numFmtId="3" fontId="44" fillId="0" borderId="3" xfId="5" applyNumberFormat="1" applyFont="1" applyBorder="1" applyAlignment="1" applyProtection="1">
      <alignment horizontal="center" vertical="center"/>
      <protection locked="0"/>
    </xf>
    <xf numFmtId="1" fontId="44" fillId="0" borderId="0" xfId="6" applyNumberFormat="1" applyFont="1" applyAlignment="1" applyProtection="1">
      <alignment horizontal="center" vertical="center"/>
      <protection locked="0"/>
    </xf>
    <xf numFmtId="0" fontId="44" fillId="0" borderId="0" xfId="6" applyFont="1" applyAlignment="1" applyProtection="1">
      <alignment horizontal="center" vertical="center" wrapText="1"/>
      <protection locked="0"/>
    </xf>
    <xf numFmtId="3" fontId="44" fillId="0" borderId="0" xfId="5" applyNumberFormat="1" applyFont="1" applyAlignment="1" applyProtection="1">
      <alignment horizontal="center" vertical="center"/>
      <protection locked="0"/>
    </xf>
    <xf numFmtId="1" fontId="42" fillId="0" borderId="0" xfId="3" applyNumberFormat="1" applyFont="1" applyAlignment="1">
      <alignment horizontal="center" vertical="center" wrapText="1"/>
    </xf>
    <xf numFmtId="2" fontId="42" fillId="0" borderId="0" xfId="3" applyNumberFormat="1" applyFont="1" applyAlignment="1">
      <alignment horizontal="center" wrapText="1"/>
    </xf>
    <xf numFmtId="3" fontId="42" fillId="0" borderId="0" xfId="3" applyNumberFormat="1" applyFont="1" applyAlignment="1">
      <alignment horizontal="center" vertical="top" wrapText="1"/>
    </xf>
    <xf numFmtId="16" fontId="48" fillId="0" borderId="3" xfId="3" applyNumberFormat="1" applyFont="1" applyBorder="1" applyAlignment="1">
      <alignment horizontal="center"/>
    </xf>
    <xf numFmtId="0" fontId="48" fillId="0" borderId="3" xfId="3" applyFont="1" applyBorder="1" applyAlignment="1">
      <alignment wrapText="1"/>
    </xf>
    <xf numFmtId="1" fontId="42" fillId="0" borderId="3" xfId="2" applyNumberFormat="1" applyFont="1" applyBorder="1" applyAlignment="1">
      <alignment horizontal="center" wrapText="1"/>
    </xf>
    <xf numFmtId="3" fontId="42" fillId="0" borderId="3" xfId="3" applyNumberFormat="1" applyFont="1" applyBorder="1" applyAlignment="1">
      <alignment horizontal="center" wrapText="1"/>
    </xf>
    <xf numFmtId="0" fontId="42" fillId="0" borderId="3" xfId="3" applyFont="1" applyBorder="1" applyAlignment="1">
      <alignment horizontal="center"/>
    </xf>
    <xf numFmtId="0" fontId="42" fillId="0" borderId="3" xfId="3" applyFont="1" applyBorder="1" applyAlignment="1">
      <alignment horizontal="center" wrapText="1"/>
    </xf>
    <xf numFmtId="0" fontId="42" fillId="0" borderId="2" xfId="3" applyFont="1" applyBorder="1" applyAlignment="1">
      <alignment wrapText="1"/>
    </xf>
    <xf numFmtId="0" fontId="42" fillId="0" borderId="2" xfId="3" applyFont="1" applyBorder="1" applyAlignment="1">
      <alignment horizontal="center"/>
    </xf>
    <xf numFmtId="0" fontId="48" fillId="0" borderId="20" xfId="2" applyFont="1" applyBorder="1" applyAlignment="1">
      <alignment horizontal="center"/>
    </xf>
    <xf numFmtId="0" fontId="48" fillId="0" borderId="20" xfId="3" applyFont="1" applyBorder="1" applyAlignment="1">
      <alignment wrapText="1"/>
    </xf>
    <xf numFmtId="1" fontId="42" fillId="0" borderId="20" xfId="3" applyNumberFormat="1" applyFont="1" applyBorder="1" applyAlignment="1">
      <alignment horizontal="center" vertical="center" wrapText="1"/>
    </xf>
    <xf numFmtId="2" fontId="42" fillId="0" borderId="20" xfId="3" applyNumberFormat="1" applyFont="1" applyBorder="1" applyAlignment="1">
      <alignment horizontal="center" wrapText="1"/>
    </xf>
    <xf numFmtId="49" fontId="42" fillId="0" borderId="20" xfId="3" applyNumberFormat="1" applyFont="1" applyBorder="1" applyAlignment="1">
      <alignment horizontal="center" vertical="top" wrapText="1"/>
    </xf>
    <xf numFmtId="3" fontId="48" fillId="0" borderId="20" xfId="3" applyNumberFormat="1" applyFont="1" applyBorder="1" applyAlignment="1">
      <alignment horizontal="center" wrapText="1"/>
    </xf>
    <xf numFmtId="168" fontId="24" fillId="0" borderId="0" xfId="7" applyNumberFormat="1" applyFont="1" applyAlignment="1">
      <alignment vertical="center"/>
    </xf>
    <xf numFmtId="0" fontId="62" fillId="0" borderId="21" xfId="10" applyFont="1" applyBorder="1" applyAlignment="1">
      <alignment horizontal="centerContinuous"/>
    </xf>
    <xf numFmtId="0" fontId="62" fillId="0" borderId="22" xfId="10" applyFont="1" applyBorder="1" applyAlignment="1">
      <alignment horizontal="centerContinuous"/>
    </xf>
    <xf numFmtId="0" fontId="62" fillId="0" borderId="22" xfId="11" applyFont="1" applyBorder="1"/>
    <xf numFmtId="0" fontId="62" fillId="0" borderId="22" xfId="10" applyFont="1" applyBorder="1" applyAlignment="1">
      <alignment horizontal="left"/>
    </xf>
    <xf numFmtId="169" fontId="62" fillId="0" borderId="22" xfId="10" applyNumberFormat="1" applyFont="1" applyBorder="1" applyAlignment="1">
      <alignment horizontal="center"/>
    </xf>
    <xf numFmtId="0" fontId="62" fillId="0" borderId="23" xfId="10" applyFont="1" applyBorder="1" applyAlignment="1">
      <alignment horizontal="left"/>
    </xf>
    <xf numFmtId="0" fontId="62" fillId="0" borderId="0" xfId="10" applyFont="1"/>
    <xf numFmtId="0" fontId="4" fillId="0" borderId="0" xfId="12"/>
    <xf numFmtId="0" fontId="62" fillId="0" borderId="24" xfId="10" applyFont="1" applyBorder="1" applyAlignment="1">
      <alignment horizontal="centerContinuous"/>
    </xf>
    <xf numFmtId="0" fontId="62" fillId="0" borderId="0" xfId="10" applyFont="1" applyAlignment="1">
      <alignment horizontal="centerContinuous"/>
    </xf>
    <xf numFmtId="0" fontId="62" fillId="0" borderId="0" xfId="10" applyFont="1" applyAlignment="1">
      <alignment horizontal="left"/>
    </xf>
    <xf numFmtId="0" fontId="62" fillId="0" borderId="0" xfId="10" applyFont="1" applyAlignment="1">
      <alignment horizontal="right"/>
    </xf>
    <xf numFmtId="169" fontId="62" fillId="0" borderId="0" xfId="10" applyNumberFormat="1" applyFont="1" applyAlignment="1">
      <alignment horizontal="center"/>
    </xf>
    <xf numFmtId="0" fontId="62" fillId="0" borderId="25" xfId="10" applyFont="1" applyBorder="1" applyAlignment="1">
      <alignment horizontal="left"/>
    </xf>
    <xf numFmtId="0" fontId="62" fillId="0" borderId="26" xfId="13" applyFont="1" applyBorder="1" applyAlignment="1">
      <alignment horizontal="center" vertical="center" wrapText="1"/>
    </xf>
    <xf numFmtId="0" fontId="62" fillId="0" borderId="27" xfId="13" applyFont="1" applyBorder="1" applyAlignment="1">
      <alignment horizontal="center" vertical="center" wrapText="1"/>
    </xf>
    <xf numFmtId="0" fontId="62" fillId="0" borderId="27" xfId="13" applyFont="1" applyBorder="1" applyAlignment="1">
      <alignment horizontal="centerContinuous" vertical="center"/>
    </xf>
    <xf numFmtId="3" fontId="62" fillId="0" borderId="27" xfId="13" applyNumberFormat="1" applyFont="1" applyBorder="1" applyAlignment="1">
      <alignment horizontal="center" vertical="center" wrapText="1"/>
    </xf>
    <xf numFmtId="169" fontId="62" fillId="0" borderId="27" xfId="13" applyNumberFormat="1" applyFont="1" applyBorder="1" applyAlignment="1">
      <alignment horizontal="center" vertical="center" wrapText="1"/>
    </xf>
    <xf numFmtId="169" fontId="62" fillId="0" borderId="28" xfId="13" applyNumberFormat="1" applyFont="1" applyBorder="1" applyAlignment="1">
      <alignment horizontal="center" vertical="center" wrapText="1"/>
    </xf>
    <xf numFmtId="0" fontId="62" fillId="0" borderId="29" xfId="14" applyFont="1" applyBorder="1" applyAlignment="1">
      <alignment horizontal="centerContinuous" vertical="center" shrinkToFit="1"/>
    </xf>
    <xf numFmtId="0" fontId="62" fillId="0" borderId="30" xfId="10" applyFont="1" applyBorder="1" applyAlignment="1">
      <alignment horizontal="center" vertical="top" wrapText="1"/>
    </xf>
    <xf numFmtId="0" fontId="62" fillId="0" borderId="31" xfId="10" applyFont="1" applyBorder="1" applyAlignment="1">
      <alignment horizontal="center" vertical="top" wrapText="1"/>
    </xf>
    <xf numFmtId="0" fontId="64" fillId="0" borderId="31" xfId="11" applyFont="1" applyBorder="1" applyAlignment="1">
      <alignment horizontal="left"/>
    </xf>
    <xf numFmtId="3" fontId="65" fillId="0" borderId="31" xfId="11" applyNumberFormat="1" applyFont="1" applyBorder="1" applyAlignment="1">
      <alignment horizontal="center"/>
    </xf>
    <xf numFmtId="49" fontId="63" fillId="0" borderId="31" xfId="11" applyNumberFormat="1" applyBorder="1" applyAlignment="1">
      <alignment horizontal="center"/>
    </xf>
    <xf numFmtId="169" fontId="62" fillId="0" borderId="31" xfId="10" applyNumberFormat="1" applyFont="1" applyBorder="1" applyAlignment="1">
      <alignment horizontal="center" vertical="top" wrapText="1"/>
    </xf>
    <xf numFmtId="169" fontId="62" fillId="0" borderId="32" xfId="10" applyNumberFormat="1" applyFont="1" applyBorder="1" applyAlignment="1">
      <alignment horizontal="center" vertical="top" wrapText="1"/>
    </xf>
    <xf numFmtId="169" fontId="62" fillId="0" borderId="33" xfId="10" applyNumberFormat="1" applyFont="1" applyBorder="1" applyAlignment="1">
      <alignment horizontal="center" vertical="top" wrapText="1"/>
    </xf>
    <xf numFmtId="0" fontId="62" fillId="0" borderId="34" xfId="10" applyFont="1" applyBorder="1" applyAlignment="1">
      <alignment vertical="top" wrapText="1"/>
    </xf>
    <xf numFmtId="0" fontId="62" fillId="0" borderId="30" xfId="10" applyFont="1" applyBorder="1" applyAlignment="1">
      <alignment horizontal="right" vertical="top" wrapText="1"/>
    </xf>
    <xf numFmtId="0" fontId="62" fillId="0" borderId="31" xfId="10" applyFont="1" applyBorder="1" applyAlignment="1">
      <alignment horizontal="center" vertical="top"/>
    </xf>
    <xf numFmtId="0" fontId="65" fillId="0" borderId="31" xfId="11" applyFont="1" applyBorder="1" applyAlignment="1">
      <alignment horizontal="left" vertical="top"/>
    </xf>
    <xf numFmtId="0" fontId="62" fillId="0" borderId="33" xfId="10" applyFont="1" applyBorder="1" applyAlignment="1">
      <alignment vertical="top" wrapText="1"/>
    </xf>
    <xf numFmtId="0" fontId="62" fillId="0" borderId="31" xfId="10" applyFont="1" applyBorder="1" applyAlignment="1">
      <alignment vertical="top" wrapText="1"/>
    </xf>
    <xf numFmtId="0" fontId="65" fillId="0" borderId="31" xfId="11" applyFont="1" applyBorder="1" applyAlignment="1">
      <alignment horizontal="left"/>
    </xf>
    <xf numFmtId="0" fontId="65" fillId="0" borderId="33" xfId="11" applyFont="1" applyBorder="1" applyAlignment="1">
      <alignment horizontal="left"/>
    </xf>
    <xf numFmtId="0" fontId="66" fillId="0" borderId="31" xfId="10" applyFont="1" applyBorder="1" applyAlignment="1">
      <alignment horizontal="left" vertical="top" wrapText="1"/>
    </xf>
    <xf numFmtId="0" fontId="65" fillId="0" borderId="31" xfId="11" applyFont="1" applyBorder="1" applyAlignment="1">
      <alignment horizontal="left" wrapText="1"/>
    </xf>
    <xf numFmtId="0" fontId="65" fillId="0" borderId="33" xfId="11" applyFont="1" applyBorder="1" applyAlignment="1">
      <alignment horizontal="left" wrapText="1"/>
    </xf>
    <xf numFmtId="49" fontId="63" fillId="0" borderId="31" xfId="11" applyNumberFormat="1" applyBorder="1" applyAlignment="1">
      <alignment horizontal="center" vertical="top"/>
    </xf>
    <xf numFmtId="0" fontId="65" fillId="0" borderId="35" xfId="11" applyFont="1" applyBorder="1" applyAlignment="1">
      <alignment horizontal="left" wrapText="1"/>
    </xf>
    <xf numFmtId="0" fontId="65" fillId="0" borderId="34" xfId="11" applyFont="1" applyBorder="1" applyAlignment="1">
      <alignment horizontal="left" wrapText="1"/>
    </xf>
    <xf numFmtId="0" fontId="65" fillId="0" borderId="31" xfId="11" applyFont="1" applyBorder="1" applyAlignment="1">
      <alignment horizontal="left" vertical="top" wrapText="1"/>
    </xf>
    <xf numFmtId="0" fontId="65" fillId="0" borderId="31" xfId="11" applyFont="1" applyBorder="1" applyAlignment="1">
      <alignment vertical="top" wrapText="1"/>
    </xf>
    <xf numFmtId="3" fontId="63" fillId="0" borderId="31" xfId="11" applyNumberFormat="1" applyBorder="1" applyAlignment="1">
      <alignment horizontal="center" vertical="top"/>
    </xf>
    <xf numFmtId="170" fontId="68" fillId="0" borderId="31" xfId="15" applyNumberFormat="1" applyFont="1" applyBorder="1" applyAlignment="1">
      <alignment horizontal="center" vertical="top" wrapText="1"/>
    </xf>
    <xf numFmtId="0" fontId="68" fillId="0" borderId="0" xfId="16" applyFont="1"/>
    <xf numFmtId="0" fontId="63" fillId="0" borderId="31" xfId="11" applyBorder="1" applyAlignment="1">
      <alignment horizontal="left"/>
    </xf>
    <xf numFmtId="0" fontId="65" fillId="0" borderId="31" xfId="17" applyFont="1" applyBorder="1" applyAlignment="1">
      <alignment wrapText="1"/>
    </xf>
    <xf numFmtId="0" fontId="65" fillId="0" borderId="33" xfId="17" applyFont="1" applyBorder="1"/>
    <xf numFmtId="0" fontId="65" fillId="0" borderId="31" xfId="17" applyFont="1" applyBorder="1"/>
    <xf numFmtId="0" fontId="69" fillId="0" borderId="30" xfId="10" applyFont="1" applyBorder="1" applyAlignment="1">
      <alignment horizontal="right" vertical="top" wrapText="1"/>
    </xf>
    <xf numFmtId="0" fontId="69" fillId="0" borderId="31" xfId="10" applyFont="1" applyBorder="1" applyAlignment="1">
      <alignment horizontal="center" vertical="top"/>
    </xf>
    <xf numFmtId="0" fontId="70" fillId="0" borderId="31" xfId="11" applyFont="1" applyBorder="1" applyAlignment="1">
      <alignment horizontal="left"/>
    </xf>
    <xf numFmtId="170" fontId="52" fillId="0" borderId="31" xfId="15" applyNumberFormat="1" applyFont="1" applyBorder="1" applyAlignment="1">
      <alignment horizontal="center" vertical="top" wrapText="1"/>
    </xf>
    <xf numFmtId="0" fontId="69" fillId="0" borderId="31" xfId="10" applyFont="1" applyBorder="1" applyAlignment="1">
      <alignment horizontal="center" vertical="top" wrapText="1"/>
    </xf>
    <xf numFmtId="169" fontId="69" fillId="0" borderId="31" xfId="10" applyNumberFormat="1" applyFont="1" applyBorder="1" applyAlignment="1">
      <alignment horizontal="center" vertical="top" wrapText="1"/>
    </xf>
    <xf numFmtId="169" fontId="69" fillId="0" borderId="32" xfId="10" applyNumberFormat="1" applyFont="1" applyBorder="1" applyAlignment="1">
      <alignment horizontal="center" vertical="top" wrapText="1"/>
    </xf>
    <xf numFmtId="0" fontId="69" fillId="0" borderId="33" xfId="10" applyFont="1" applyBorder="1" applyAlignment="1">
      <alignment vertical="top" wrapText="1"/>
    </xf>
    <xf numFmtId="0" fontId="65" fillId="0" borderId="31" xfId="15" applyFont="1" applyBorder="1" applyAlignment="1">
      <alignment horizontal="left"/>
    </xf>
    <xf numFmtId="0" fontId="65" fillId="0" borderId="33" xfId="15" applyFont="1" applyBorder="1" applyAlignment="1">
      <alignment horizontal="left"/>
    </xf>
    <xf numFmtId="0" fontId="62" fillId="0" borderId="36" xfId="10" applyFont="1" applyBorder="1" applyAlignment="1">
      <alignment horizontal="center" vertical="top" wrapText="1"/>
    </xf>
    <xf numFmtId="0" fontId="63" fillId="0" borderId="37" xfId="11" applyBorder="1"/>
    <xf numFmtId="0" fontId="62" fillId="0" borderId="38" xfId="10" applyFont="1" applyBorder="1" applyAlignment="1">
      <alignment horizontal="right" vertical="top" wrapText="1"/>
    </xf>
    <xf numFmtId="0" fontId="62" fillId="0" borderId="39" xfId="10" applyFont="1" applyBorder="1" applyAlignment="1">
      <alignment horizontal="center" vertical="top" wrapText="1"/>
    </xf>
    <xf numFmtId="0" fontId="65" fillId="0" borderId="39" xfId="15" applyFont="1" applyBorder="1" applyAlignment="1">
      <alignment horizontal="left"/>
    </xf>
    <xf numFmtId="169" fontId="62" fillId="0" borderId="39" xfId="10" applyNumberFormat="1" applyFont="1" applyBorder="1" applyAlignment="1">
      <alignment horizontal="center" vertical="top" wrapText="1"/>
    </xf>
    <xf numFmtId="169" fontId="62" fillId="0" borderId="40" xfId="10" applyNumberFormat="1" applyFont="1" applyBorder="1" applyAlignment="1">
      <alignment horizontal="center" vertical="top" wrapText="1"/>
    </xf>
    <xf numFmtId="169" fontId="62" fillId="0" borderId="41" xfId="10" applyNumberFormat="1" applyFont="1" applyBorder="1" applyAlignment="1">
      <alignment horizontal="center" vertical="top" wrapText="1"/>
    </xf>
    <xf numFmtId="0" fontId="63" fillId="0" borderId="42" xfId="11" applyBorder="1"/>
    <xf numFmtId="0" fontId="68" fillId="0" borderId="0" xfId="18" applyFont="1"/>
    <xf numFmtId="0" fontId="71" fillId="0" borderId="0" xfId="18" applyFont="1"/>
    <xf numFmtId="169" fontId="71" fillId="0" borderId="0" xfId="18" applyNumberFormat="1" applyFont="1"/>
    <xf numFmtId="0" fontId="1" fillId="0" borderId="0" xfId="19"/>
    <xf numFmtId="0" fontId="68" fillId="0" borderId="0" xfId="20" applyFont="1"/>
    <xf numFmtId="0" fontId="68" fillId="0" borderId="0" xfId="21" applyFont="1"/>
    <xf numFmtId="0" fontId="71" fillId="0" borderId="0" xfId="21" applyFont="1"/>
    <xf numFmtId="169" fontId="71" fillId="0" borderId="0" xfId="21" applyNumberFormat="1" applyFont="1"/>
    <xf numFmtId="0" fontId="0" fillId="0" borderId="0" xfId="0" applyAlignment="1">
      <alignment wrapText="1"/>
    </xf>
    <xf numFmtId="0" fontId="61" fillId="0" borderId="1" xfId="0" applyFont="1" applyBorder="1" applyAlignment="1">
      <alignment vertical="center"/>
    </xf>
    <xf numFmtId="3" fontId="41" fillId="0" borderId="3" xfId="0" applyNumberFormat="1" applyFont="1" applyBorder="1"/>
    <xf numFmtId="0" fontId="72" fillId="0" borderId="2" xfId="0" applyFont="1" applyBorder="1" applyAlignment="1">
      <alignment vertical="center" wrapText="1"/>
    </xf>
    <xf numFmtId="0" fontId="72" fillId="0" borderId="2" xfId="0" applyFont="1" applyBorder="1" applyAlignment="1">
      <alignment vertical="center"/>
    </xf>
    <xf numFmtId="168" fontId="0" fillId="0" borderId="0" xfId="0" applyNumberFormat="1"/>
    <xf numFmtId="43" fontId="0" fillId="0" borderId="0" xfId="7" applyFont="1"/>
    <xf numFmtId="4" fontId="26" fillId="0" borderId="0" xfId="0" applyNumberFormat="1" applyFont="1" applyAlignment="1">
      <alignment vertical="center"/>
    </xf>
    <xf numFmtId="0" fontId="0" fillId="0" borderId="0" xfId="0"/>
    <xf numFmtId="167" fontId="24" fillId="0" borderId="0" xfId="0" applyNumberFormat="1" applyFont="1" applyAlignment="1">
      <alignment horizontal="right" vertical="center"/>
    </xf>
    <xf numFmtId="3" fontId="42" fillId="0" borderId="0" xfId="2" applyNumberFormat="1" applyFont="1" applyAlignment="1">
      <alignment horizontal="right" wrapText="1"/>
    </xf>
    <xf numFmtId="0" fontId="42" fillId="0" borderId="0" xfId="2" applyFont="1" applyAlignment="1">
      <alignment horizontal="left" wrapText="1"/>
    </xf>
    <xf numFmtId="0" fontId="53" fillId="0" borderId="0" xfId="2" applyFont="1" applyAlignment="1">
      <alignment horizontal="center" wrapText="1"/>
    </xf>
    <xf numFmtId="3" fontId="42" fillId="0" borderId="0" xfId="2" applyNumberFormat="1" applyFont="1" applyAlignment="1">
      <alignment horizontal="right"/>
    </xf>
    <xf numFmtId="3" fontId="9" fillId="0" borderId="0" xfId="3" applyNumberFormat="1" applyAlignment="1">
      <alignment horizontal="right" wrapText="1"/>
    </xf>
    <xf numFmtId="0" fontId="42" fillId="0" borderId="0" xfId="2" applyFont="1" applyAlignment="1">
      <alignment horizontal="left" vertical="top" wrapText="1"/>
    </xf>
    <xf numFmtId="0" fontId="21" fillId="0" borderId="0" xfId="2" applyFont="1" applyAlignment="1">
      <alignment horizontal="center" wrapText="1"/>
    </xf>
    <xf numFmtId="3" fontId="42" fillId="0" borderId="1" xfId="2" applyNumberFormat="1" applyFont="1" applyBorder="1" applyAlignment="1">
      <alignment horizontal="center" wrapText="1"/>
    </xf>
    <xf numFmtId="3" fontId="50" fillId="0" borderId="0" xfId="3" applyNumberFormat="1" applyFont="1" applyAlignment="1">
      <alignment horizontal="right" wrapText="1"/>
    </xf>
    <xf numFmtId="0" fontId="51" fillId="0" borderId="0" xfId="2" applyFont="1" applyAlignment="1">
      <alignment horizontal="center" wrapText="1"/>
    </xf>
    <xf numFmtId="0" fontId="49" fillId="0" borderId="0" xfId="2" applyFont="1" applyAlignment="1">
      <alignment horizontal="center" wrapText="1"/>
    </xf>
    <xf numFmtId="0" fontId="74" fillId="0" borderId="0" xfId="0" applyFont="1" applyAlignment="1">
      <alignment horizontal="center" vertical="center"/>
    </xf>
    <xf numFmtId="4" fontId="75" fillId="3" borderId="0" xfId="0" applyNumberFormat="1" applyFont="1" applyFill="1" applyAlignment="1">
      <alignment horizontal="right" vertical="center"/>
    </xf>
    <xf numFmtId="0" fontId="76" fillId="0" borderId="43" xfId="0" applyFont="1" applyBorder="1" applyAlignment="1">
      <alignment horizontal="left" vertical="center" wrapText="1"/>
    </xf>
    <xf numFmtId="0" fontId="76" fillId="0" borderId="44" xfId="0" applyFont="1" applyBorder="1" applyAlignment="1">
      <alignment horizontal="left" vertical="center"/>
    </xf>
    <xf numFmtId="0" fontId="75" fillId="0" borderId="44" xfId="0" applyFont="1" applyBorder="1" applyAlignment="1">
      <alignment horizontal="left" vertical="center" wrapText="1"/>
    </xf>
    <xf numFmtId="0" fontId="75" fillId="0" borderId="44" xfId="0" applyFont="1" applyBorder="1" applyAlignment="1">
      <alignment horizontal="left" vertical="center"/>
    </xf>
    <xf numFmtId="0" fontId="76" fillId="0" borderId="44" xfId="0" applyFont="1" applyBorder="1" applyAlignment="1">
      <alignment horizontal="left" vertical="center" wrapText="1"/>
    </xf>
    <xf numFmtId="0" fontId="76" fillId="0" borderId="45" xfId="0" applyFont="1" applyBorder="1" applyAlignment="1">
      <alignment horizontal="left" vertical="center"/>
    </xf>
    <xf numFmtId="0" fontId="76" fillId="0" borderId="46" xfId="0" applyFont="1" applyBorder="1" applyAlignment="1">
      <alignment horizontal="left" vertical="center"/>
    </xf>
    <xf numFmtId="0" fontId="76" fillId="0" borderId="0" xfId="0" applyFont="1" applyAlignment="1">
      <alignment horizontal="left" vertical="center"/>
    </xf>
    <xf numFmtId="0" fontId="75" fillId="0" borderId="0" xfId="0" applyFont="1" applyAlignment="1">
      <alignment horizontal="left" vertical="center"/>
    </xf>
    <xf numFmtId="0" fontId="76" fillId="0" borderId="47" xfId="0" applyFont="1" applyBorder="1" applyAlignment="1">
      <alignment horizontal="left" vertical="center"/>
    </xf>
    <xf numFmtId="0" fontId="76" fillId="0" borderId="46" xfId="0" applyFont="1" applyBorder="1" applyAlignment="1">
      <alignment horizontal="left" vertical="center" wrapText="1"/>
    </xf>
    <xf numFmtId="0" fontId="76" fillId="0" borderId="0" xfId="0" applyFont="1" applyAlignment="1">
      <alignment horizontal="left" vertical="center" wrapText="1"/>
    </xf>
    <xf numFmtId="0" fontId="75" fillId="0" borderId="60" xfId="0" applyFont="1" applyBorder="1" applyAlignment="1">
      <alignment horizontal="left" vertical="center"/>
    </xf>
    <xf numFmtId="0" fontId="75" fillId="0" borderId="48" xfId="0" applyFont="1" applyBorder="1" applyAlignment="1">
      <alignment horizontal="left" vertical="center"/>
    </xf>
    <xf numFmtId="0" fontId="75" fillId="0" borderId="49" xfId="0" applyFont="1" applyBorder="1" applyAlignment="1">
      <alignment horizontal="left" vertical="center"/>
    </xf>
    <xf numFmtId="0" fontId="75" fillId="0" borderId="48" xfId="0" applyFont="1" applyBorder="1" applyAlignment="1">
      <alignment horizontal="left" vertical="center"/>
    </xf>
    <xf numFmtId="0" fontId="75" fillId="0" borderId="48" xfId="0" applyFont="1" applyBorder="1" applyAlignment="1">
      <alignment horizontal="center" vertical="center"/>
    </xf>
    <xf numFmtId="0" fontId="75" fillId="0" borderId="49" xfId="0" applyFont="1" applyBorder="1" applyAlignment="1">
      <alignment horizontal="center" vertical="center"/>
    </xf>
    <xf numFmtId="0" fontId="75" fillId="0" borderId="50" xfId="0" applyFont="1" applyBorder="1" applyAlignment="1">
      <alignment horizontal="center" vertical="center"/>
    </xf>
    <xf numFmtId="0" fontId="75" fillId="0" borderId="51" xfId="0" applyFont="1" applyBorder="1" applyAlignment="1">
      <alignment horizontal="center" vertical="center"/>
    </xf>
    <xf numFmtId="0" fontId="75" fillId="0" borderId="52" xfId="0" applyFont="1" applyBorder="1" applyAlignment="1">
      <alignment horizontal="center" vertical="center"/>
    </xf>
    <xf numFmtId="0" fontId="75" fillId="3" borderId="0" xfId="0" applyFont="1" applyFill="1" applyAlignment="1">
      <alignment horizontal="right" vertical="center"/>
    </xf>
    <xf numFmtId="0" fontId="75" fillId="0" borderId="0" xfId="0" applyFont="1" applyAlignment="1">
      <alignment horizontal="right" vertical="center"/>
    </xf>
    <xf numFmtId="0" fontId="76" fillId="0" borderId="61" xfId="0" applyFont="1" applyBorder="1" applyAlignment="1">
      <alignment horizontal="left" vertical="center"/>
    </xf>
    <xf numFmtId="0" fontId="76" fillId="0" borderId="54" xfId="0" applyFont="1" applyBorder="1" applyAlignment="1">
      <alignment horizontal="left" vertical="center"/>
    </xf>
    <xf numFmtId="0" fontId="75" fillId="0" borderId="55" xfId="0" applyFont="1" applyBorder="1" applyAlignment="1">
      <alignment horizontal="left" vertical="center"/>
    </xf>
    <xf numFmtId="0" fontId="75" fillId="0" borderId="54" xfId="0" applyFont="1" applyBorder="1" applyAlignment="1">
      <alignment horizontal="left" vertical="center"/>
    </xf>
    <xf numFmtId="0" fontId="75" fillId="0" borderId="55" xfId="0" applyFont="1" applyBorder="1" applyAlignment="1">
      <alignment horizontal="center" vertical="center"/>
    </xf>
    <xf numFmtId="0" fontId="75" fillId="0" borderId="53" xfId="0" applyFont="1" applyBorder="1" applyAlignment="1">
      <alignment horizontal="center" vertical="center"/>
    </xf>
    <xf numFmtId="0" fontId="75" fillId="0" borderId="54" xfId="0" applyFont="1" applyBorder="1" applyAlignment="1">
      <alignment horizontal="center" vertical="center"/>
    </xf>
    <xf numFmtId="0" fontId="75" fillId="0" borderId="56" xfId="0" applyFont="1" applyBorder="1" applyAlignment="1">
      <alignment horizontal="center" vertical="center"/>
    </xf>
    <xf numFmtId="0" fontId="76" fillId="3" borderId="46" xfId="0" applyFont="1" applyFill="1" applyBorder="1" applyAlignment="1">
      <alignment horizontal="left" vertical="center"/>
    </xf>
    <xf numFmtId="0" fontId="75" fillId="3" borderId="0" xfId="0" applyFont="1" applyFill="1" applyAlignment="1">
      <alignment horizontal="left" vertical="center"/>
    </xf>
    <xf numFmtId="0" fontId="75" fillId="3" borderId="0" xfId="0" applyFont="1" applyFill="1" applyAlignment="1">
      <alignment horizontal="left" vertical="center" wrapText="1"/>
    </xf>
    <xf numFmtId="0" fontId="75" fillId="3" borderId="0" xfId="0" applyFont="1" applyFill="1" applyAlignment="1">
      <alignment horizontal="left" vertical="center"/>
    </xf>
    <xf numFmtId="0" fontId="76" fillId="3" borderId="0" xfId="0" applyFont="1" applyFill="1" applyAlignment="1">
      <alignment horizontal="left" vertical="center"/>
    </xf>
    <xf numFmtId="0" fontId="75" fillId="3" borderId="47" xfId="0" applyFont="1" applyFill="1" applyBorder="1" applyAlignment="1">
      <alignment horizontal="right" vertical="center"/>
    </xf>
    <xf numFmtId="0" fontId="76" fillId="0" borderId="46" xfId="0" applyFont="1" applyBorder="1" applyAlignment="1">
      <alignment horizontal="left" vertical="center"/>
    </xf>
    <xf numFmtId="0" fontId="76" fillId="0" borderId="0" xfId="0" applyFont="1" applyAlignment="1">
      <alignment horizontal="left" vertical="center"/>
    </xf>
    <xf numFmtId="4" fontId="76" fillId="0" borderId="0" xfId="0" applyNumberFormat="1" applyFont="1" applyAlignment="1">
      <alignment horizontal="right" vertical="center"/>
    </xf>
    <xf numFmtId="0" fontId="76" fillId="0" borderId="47" xfId="0" applyFont="1" applyBorder="1" applyAlignment="1">
      <alignment horizontal="right" vertical="center"/>
    </xf>
    <xf numFmtId="0" fontId="76" fillId="0" borderId="0" xfId="0" applyFont="1" applyAlignment="1">
      <alignment horizontal="right" vertical="center"/>
    </xf>
    <xf numFmtId="0" fontId="76" fillId="0" borderId="0" xfId="0" applyFont="1" applyAlignment="1">
      <alignment horizontal="left" vertical="center" wrapText="1"/>
    </xf>
    <xf numFmtId="0" fontId="0" fillId="0" borderId="46" xfId="0" applyBorder="1"/>
    <xf numFmtId="0" fontId="77" fillId="0" borderId="0" xfId="0" applyFont="1" applyAlignment="1">
      <alignment horizontal="left" vertical="center"/>
    </xf>
    <xf numFmtId="4" fontId="77" fillId="0" borderId="0" xfId="0" applyNumberFormat="1" applyFont="1" applyAlignment="1">
      <alignment horizontal="right" vertical="center"/>
    </xf>
    <xf numFmtId="0" fontId="0" fillId="0" borderId="47" xfId="0" applyBorder="1"/>
    <xf numFmtId="0" fontId="76" fillId="0" borderId="57" xfId="0" applyFont="1" applyBorder="1" applyAlignment="1">
      <alignment horizontal="left" vertical="center"/>
    </xf>
    <xf numFmtId="0" fontId="76" fillId="0" borderId="58" xfId="0" applyFont="1" applyBorder="1" applyAlignment="1">
      <alignment horizontal="left" vertical="center"/>
    </xf>
    <xf numFmtId="0" fontId="76" fillId="0" borderId="58" xfId="0" applyFont="1" applyBorder="1" applyAlignment="1">
      <alignment horizontal="left" vertical="center" wrapText="1"/>
    </xf>
    <xf numFmtId="0" fontId="76" fillId="0" borderId="58" xfId="0" applyFont="1" applyBorder="1" applyAlignment="1">
      <alignment horizontal="left" vertical="center"/>
    </xf>
    <xf numFmtId="4" fontId="76" fillId="0" borderId="58" xfId="0" applyNumberFormat="1" applyFont="1" applyBorder="1" applyAlignment="1">
      <alignment horizontal="right" vertical="center"/>
    </xf>
    <xf numFmtId="0" fontId="76" fillId="0" borderId="59" xfId="0" applyFont="1" applyBorder="1" applyAlignment="1">
      <alignment horizontal="right" vertical="center"/>
    </xf>
    <xf numFmtId="4" fontId="75" fillId="0" borderId="0" xfId="0" applyNumberFormat="1" applyFont="1" applyAlignment="1">
      <alignment horizontal="right" vertical="center"/>
    </xf>
    <xf numFmtId="0" fontId="78" fillId="0" borderId="0" xfId="0" applyFont="1" applyAlignment="1">
      <alignment horizontal="left" vertical="center"/>
    </xf>
  </cellXfs>
  <cellStyles count="24">
    <cellStyle name="Čárka" xfId="7" builtinId="3"/>
    <cellStyle name="Excel Built-in Normal" xfId="3" xr:uid="{00000000-0005-0000-0000-000000000000}"/>
    <cellStyle name="fnRegressQ 2" xfId="15" xr:uid="{EBC9DFCC-641C-46EB-8F3F-157FD9545A76}"/>
    <cellStyle name="Hypertextový odkaz" xfId="1" builtinId="8"/>
    <cellStyle name="Hypertextový odkaz 2" xfId="8" xr:uid="{55E64250-6ABD-4395-850F-7F1A8314003A}"/>
    <cellStyle name="Normal 3 2" xfId="18" xr:uid="{C2BA0983-DDBC-49FE-B398-066DEF1F1F84}"/>
    <cellStyle name="Normal 3 2 2" xfId="21" xr:uid="{450A65DB-B7C7-4625-830A-F0CE81B75ACE}"/>
    <cellStyle name="Normální" xfId="0" builtinId="0" customBuiltin="1"/>
    <cellStyle name="normální 2" xfId="2" xr:uid="{00000000-0005-0000-0000-000003000000}"/>
    <cellStyle name="normální 2 3" xfId="11" xr:uid="{E4FEB785-90F3-4AF2-AB4A-E3F297F84216}"/>
    <cellStyle name="Normální 3" xfId="4" xr:uid="{00000000-0005-0000-0000-000004000000}"/>
    <cellStyle name="Normální 3 2" xfId="12" xr:uid="{771CB693-91FE-44EE-9B7A-FC1F92361CD0}"/>
    <cellStyle name="Normální 4" xfId="6" xr:uid="{00000000-0005-0000-0000-000005000000}"/>
    <cellStyle name="Normální 5" xfId="9" xr:uid="{6EB9770B-3307-4362-9DAF-48C2C5770B42}"/>
    <cellStyle name="Normální 6" xfId="5" xr:uid="{00000000-0005-0000-0000-000006000000}"/>
    <cellStyle name="Normální 7" xfId="22" xr:uid="{79F9BE55-0AFB-4495-A9BC-1F167CAB3776}"/>
    <cellStyle name="Normální 7 2" xfId="16" xr:uid="{179833EB-2C85-4D48-A7F3-6DFAF8BF8037}"/>
    <cellStyle name="Normální 7 2 2" xfId="20" xr:uid="{7040622B-901C-438D-9487-2AB36F13701D}"/>
    <cellStyle name="Normální 8" xfId="19" xr:uid="{7A143D9A-5BA6-4FDA-8602-23E60796EFB9}"/>
    <cellStyle name="Normální 9" xfId="23" xr:uid="{6870ADE8-ABA0-43CB-8D99-AF0589C92AA8}"/>
    <cellStyle name="normální_K_VZT1 2" xfId="17" xr:uid="{4F9970F1-A582-45CD-96F9-76CF05F713CD}"/>
    <cellStyle name="normální_Rozpočet investičních nákladů platí 16,+ specifikace" xfId="13" xr:uid="{5CEB626E-14C0-4CD0-AAA3-A7EE2C24F84B}"/>
    <cellStyle name="normální_SA_PC15_51_VV_00 2" xfId="14" xr:uid="{D3AA5584-0F76-4430-95C7-7321972AD3AC}"/>
    <cellStyle name="normální_Zadávací podklad pro profese" xfId="10" xr:uid="{EF9A5E6A-160A-48AD-98AF-DB4AFA3EB1FD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942975</xdr:colOff>
      <xdr:row>0</xdr:row>
      <xdr:rowOff>666750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CD639F3A-E5D4-42CC-A632-11C42ED325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209675" cy="666750"/>
        </a:xfrm>
        <a:prstGeom prst="rect">
          <a:avLst/>
        </a:prstGeom>
        <a:noFill/>
        <a:ln w="9525">
          <a:prstDash val="solid"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400050</xdr:colOff>
      <xdr:row>0</xdr:row>
      <xdr:rowOff>666750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2828A937-D195-4F38-B6C7-28F5D02979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66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Prenos\SESTAK\_Sk_Kopie_111010_12x_xxxx_K_001_01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~1\csestam\LOCALS~1\Temp\notesEA312D\Help_110203_11x_xxxx_K_001_01.xlsm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V:\2023\Nab&#237;dky\23_tbar_001_01_AQC%20Teplice_&#268;S-KL,%20MAR\Nab&#237;dka\23_tbar_K_001_01.xlsm" TargetMode="External"/><Relationship Id="rId1" Type="http://schemas.openxmlformats.org/officeDocument/2006/relationships/externalLinkPath" Target="file:///V:\2023\Nab&#237;dky\23_tbar_001_01_AQC%20Teplice_&#268;S-KL,%20MAR\Nab&#237;dka\23_tbar_K_001_01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!Nab&#237;dky\2017\172_tbar_053_01_CVUT%20Praha,%20stavebni,%20A,%20MaR%20pro%20VZT%201NP%20+%201PP\172_tbar_K_053_01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risskj\Desktop\QARF_v5_6a.xlsb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2021\Nab&#237;dky\21_tbar_049_01_AQC%20Teplice_slun&#283;n&#237;\Nab&#237;dka\21_tbar_K_049_0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dání_"/>
      <sheetName val="HW"/>
      <sheetName val="Moduly"/>
      <sheetName val="Integr"/>
      <sheetName val="SW_kalk"/>
      <sheetName val="Estimate"/>
      <sheetName val="PC"/>
      <sheetName val="SW"/>
      <sheetName val="Kabelaze"/>
      <sheetName val="Rozvaděč"/>
      <sheetName val="Výpočty"/>
      <sheetName val="Subdod"/>
    </sheetNames>
    <sheetDataSet>
      <sheetData sheetId="0"/>
      <sheetData sheetId="1"/>
      <sheetData sheetId="2"/>
      <sheetData sheetId="3"/>
      <sheetData sheetId="4"/>
      <sheetData sheetId="5">
        <row r="69">
          <cell r="H69">
            <v>1134448.9099999999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dání_"/>
      <sheetName val="HW"/>
      <sheetName val="Moduly"/>
      <sheetName val="Integr"/>
      <sheetName val="SW_kalk"/>
      <sheetName val="Estimate"/>
      <sheetName val="PC"/>
      <sheetName val="SW"/>
      <sheetName val="Kabelaze"/>
      <sheetName val="Rozvaděč"/>
      <sheetName val="Výpočty"/>
      <sheetName val="Subdod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>
        <row r="70">
          <cell r="H70">
            <v>2684455.1673719999</v>
          </cell>
        </row>
      </sheetData>
      <sheetData sheetId="6" refreshError="1"/>
      <sheetData sheetId="7" refreshError="1"/>
      <sheetData sheetId="8" refreshError="1"/>
      <sheetData sheetId="9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OZNÁMKY"/>
      <sheetName val="VV"/>
      <sheetName val="VV_nákup optika"/>
      <sheetName val="Zadání_"/>
      <sheetName val="HW"/>
      <sheetName val="Montážní práce"/>
      <sheetName val="SW_kalk"/>
      <sheetName val="Estimate"/>
      <sheetName val="PC"/>
      <sheetName val="SW práce"/>
      <sheetName val="Kabelaze"/>
      <sheetName val="Rozvaděč"/>
      <sheetName val="Rozvaděče"/>
      <sheetName val="Mo_Pol"/>
      <sheetName val="IO"/>
      <sheetName val="Realizace náklad"/>
      <sheetName val="Ceny za DB"/>
      <sheetName val="Seznam změn"/>
      <sheetName val="Obchod -&gt; Realizace"/>
      <sheetName val="Obchod -&gt; Servis"/>
      <sheetName val="Realizace -&gt; Servis"/>
      <sheetName val="Hlavní subdodavatel 1"/>
      <sheetName val="Hlavní subdodavatel 2"/>
      <sheetName val="Hlavní subdodavatel 3"/>
      <sheetName val="Dodavatelé 1"/>
      <sheetName val="Dodavatelé 2"/>
      <sheetName val="Rozbalovací pole"/>
      <sheetName val="QARF"/>
      <sheetName val="Data"/>
      <sheetName val="KO"/>
      <sheetName val="Zdrojová data"/>
      <sheetName val="23_tbar_K_001_01"/>
    </sheetNames>
    <sheetDataSet>
      <sheetData sheetId="0"/>
      <sheetData sheetId="1"/>
      <sheetData sheetId="2">
        <row r="83">
          <cell r="F83">
            <v>20</v>
          </cell>
        </row>
      </sheetData>
      <sheetData sheetId="3"/>
      <sheetData sheetId="4">
        <row r="53">
          <cell r="Q53">
            <v>18372</v>
          </cell>
        </row>
      </sheetData>
      <sheetData sheetId="5"/>
      <sheetData sheetId="6"/>
      <sheetData sheetId="7">
        <row r="20">
          <cell r="H20">
            <v>10360</v>
          </cell>
        </row>
        <row r="56">
          <cell r="H56">
            <v>1380801.857142857</v>
          </cell>
        </row>
      </sheetData>
      <sheetData sheetId="8"/>
      <sheetData sheetId="9"/>
      <sheetData sheetId="10">
        <row r="8">
          <cell r="Q8">
            <v>30.38</v>
          </cell>
        </row>
      </sheetData>
      <sheetData sheetId="11"/>
      <sheetData sheetId="12">
        <row r="8">
          <cell r="R8">
            <v>141667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10">
          <cell r="AI10" t="str">
            <v>CZK</v>
          </cell>
        </row>
        <row r="26">
          <cell r="AP26" t="e">
            <v>#REF!</v>
          </cell>
        </row>
      </sheetData>
      <sheetData sheetId="28"/>
      <sheetData sheetId="29"/>
      <sheetData sheetId="30"/>
      <sheetData sheetId="3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ZNÁMKY"/>
      <sheetName val="Zadání_"/>
      <sheetName val="VV"/>
      <sheetName val="HW"/>
      <sheetName val="Estimate"/>
      <sheetName val="Kabelaze"/>
      <sheetName val="Montážní práce"/>
      <sheetName val="SW_kalk"/>
      <sheetName val="PC"/>
      <sheetName val="SW práce"/>
      <sheetName val="Rozvaděč"/>
      <sheetName val="Rozvaděče"/>
      <sheetName val="Mo_Pol"/>
      <sheetName val="IO"/>
      <sheetName val="Ceny za DB"/>
      <sheetName val="Seznam změn"/>
      <sheetName val="KO"/>
      <sheetName val="Zdrojová data"/>
    </sheetNames>
    <sheetDataSet>
      <sheetData sheetId="0"/>
      <sheetData sheetId="1"/>
      <sheetData sheetId="2"/>
      <sheetData sheetId="3"/>
      <sheetData sheetId="4">
        <row r="57">
          <cell r="H57">
            <v>412523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ARF"/>
      <sheetName val="Comments in English"/>
      <sheetName val="Comments in German"/>
      <sheetName val="Comments in French"/>
      <sheetName val="Comments in Spanish"/>
      <sheetName val="Project Plan"/>
      <sheetName val="Cash Flow"/>
      <sheetName val="Cash Flow Chart"/>
      <sheetName val="Project Plan Help (EN)"/>
      <sheetName val="Project Plan Help (DE)"/>
      <sheetName val="Project Plan Help (FR)"/>
      <sheetName val="Project Plan Help (ES)"/>
      <sheetName val="Project Plan Translations"/>
      <sheetName val="Data"/>
      <sheetName val="T&amp;C"/>
      <sheetName val="Revisions"/>
      <sheetName val="QARF_v5_6a"/>
    </sheetNames>
    <sheetDataSet>
      <sheetData sheetId="0">
        <row r="10">
          <cell r="AI10" t="str">
            <v>EUR</v>
          </cell>
        </row>
      </sheetData>
      <sheetData sheetId="1">
        <row r="239">
          <cell r="B239" t="str">
            <v>As the Offer is based on JCI Terms and Conditions. All questions can be answered in green without explanations.</v>
          </cell>
        </row>
      </sheetData>
      <sheetData sheetId="2">
        <row r="239">
          <cell r="B239" t="str">
            <v>Da das Angebot auf den JCI Standard Bedingungen basiert, dürfen alle Fragen ohne weitere Erklärung mit “grün” beantwortet werden.</v>
          </cell>
        </row>
      </sheetData>
      <sheetData sheetId="3">
        <row r="239">
          <cell r="B239" t="str">
            <v>Comme l’offre est basée sur les conditions générales de JCI, toutes les questions peuvent être répondues “en vertes” sans plus d’explications.</v>
          </cell>
        </row>
      </sheetData>
      <sheetData sheetId="4">
        <row r="239">
          <cell r="B239" t="str">
            <v>Si la Oferta se basa en las Condiciones Generals de Venta de JCI, todas las preguntas pueden ser respondidas en verde sin explicaciones.</v>
          </cell>
        </row>
      </sheetData>
      <sheetData sheetId="5"/>
      <sheetData sheetId="6">
        <row r="92">
          <cell r="Q92">
            <v>0.1019</v>
          </cell>
        </row>
      </sheetData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ZNÁMKY"/>
      <sheetName val="VV"/>
      <sheetName val="Zadání_"/>
      <sheetName val="HW"/>
      <sheetName val="Montážní práce"/>
      <sheetName val="SW_kalk"/>
      <sheetName val="Estimate"/>
      <sheetName val="PC"/>
      <sheetName val="SW práce"/>
      <sheetName val="Kabelaze"/>
      <sheetName val="Rozvaděč"/>
      <sheetName val="Rozvaděče"/>
      <sheetName val="Mo_Pol"/>
      <sheetName val="IO"/>
      <sheetName val="Realizace náklad"/>
      <sheetName val="Ceny za DB"/>
      <sheetName val="Seznam změn"/>
      <sheetName val="Obchod -&gt; Realizace"/>
      <sheetName val="Obchod -&gt; Servis"/>
      <sheetName val="Realizace -&gt; Servis"/>
      <sheetName val="Hlavní subdodavatel 1"/>
      <sheetName val="Hlavní subdodavatel 2"/>
      <sheetName val="Hlavní subdodavatel 3"/>
      <sheetName val="Dodavatelé 1"/>
      <sheetName val="Dodavatelé 2"/>
      <sheetName val="Rozbalovací pole"/>
      <sheetName val="QARF"/>
      <sheetName val="Data"/>
      <sheetName val="KO"/>
      <sheetName val="Zdrojová data"/>
      <sheetName val="21_tbar_K_049_01"/>
    </sheetNames>
    <sheetDataSet>
      <sheetData sheetId="0"/>
      <sheetData sheetId="1"/>
      <sheetData sheetId="2"/>
      <sheetData sheetId="3"/>
      <sheetData sheetId="4"/>
      <sheetData sheetId="5"/>
      <sheetData sheetId="6">
        <row r="56">
          <cell r="H56">
            <v>922615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10">
          <cell r="AI10" t="str">
            <v>CZK</v>
          </cell>
        </row>
        <row r="16">
          <cell r="AA16"/>
        </row>
      </sheetData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N59"/>
  <sheetViews>
    <sheetView tabSelected="1" zoomScale="112" zoomScaleNormal="112" workbookViewId="0">
      <selection activeCell="E26" sqref="E26"/>
    </sheetView>
  </sheetViews>
  <sheetFormatPr defaultColWidth="9.5" defaultRowHeight="12"/>
  <cols>
    <col min="1" max="1" width="10.6640625" style="9" customWidth="1"/>
    <col min="2" max="2" width="3" style="14" customWidth="1"/>
    <col min="3" max="3" width="10" style="14" customWidth="1"/>
    <col min="4" max="4" width="12" style="9" customWidth="1"/>
    <col min="5" max="5" width="52" style="9" customWidth="1"/>
    <col min="6" max="6" width="15.1640625" style="9" customWidth="1"/>
    <col min="7" max="7" width="22.1640625" style="9" bestFit="1" customWidth="1"/>
    <col min="8" max="8" width="19.1640625" style="9" customWidth="1"/>
    <col min="9" max="9" width="2.6640625" style="9" customWidth="1"/>
    <col min="10" max="10" width="9.5" style="9" customWidth="1"/>
    <col min="11" max="11" width="40" style="9" customWidth="1"/>
    <col min="12" max="12" width="16.83203125" style="9" bestFit="1" customWidth="1"/>
    <col min="13" max="16384" width="9.5" style="9"/>
  </cols>
  <sheetData>
    <row r="1" spans="2:40" s="4" customFormat="1" ht="17.100000000000001" customHeight="1">
      <c r="B1" s="43"/>
      <c r="C1"/>
      <c r="D1"/>
      <c r="E1"/>
      <c r="F1"/>
      <c r="G1"/>
      <c r="H1"/>
      <c r="I1" s="44"/>
      <c r="J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 s="43"/>
      <c r="AJ1"/>
      <c r="AK1"/>
      <c r="AL1" s="44"/>
      <c r="AM1"/>
      <c r="AN1"/>
    </row>
    <row r="2" spans="2:40" s="4" customFormat="1" ht="17.100000000000001" customHeight="1">
      <c r="B2" s="56"/>
      <c r="C2" s="57"/>
      <c r="D2" s="57"/>
      <c r="E2" s="57"/>
      <c r="F2" s="57"/>
      <c r="G2" s="57"/>
      <c r="H2" s="57"/>
      <c r="I2" s="58"/>
      <c r="J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</row>
    <row r="3" spans="2:40" s="4" customFormat="1" ht="17.25" customHeight="1">
      <c r="B3" s="59"/>
      <c r="C3"/>
      <c r="D3"/>
      <c r="E3"/>
      <c r="F3"/>
      <c r="G3"/>
      <c r="H3"/>
      <c r="I3" s="60"/>
      <c r="J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 s="43"/>
      <c r="AJ3"/>
      <c r="AK3"/>
      <c r="AL3" s="44"/>
      <c r="AM3"/>
      <c r="AN3"/>
    </row>
    <row r="4" spans="2:40" s="6" customFormat="1" ht="18" customHeight="1">
      <c r="B4" s="61"/>
      <c r="C4" s="44"/>
      <c r="D4"/>
      <c r="E4" s="55" t="s">
        <v>111</v>
      </c>
      <c r="G4"/>
      <c r="H4"/>
      <c r="I4" s="60"/>
      <c r="J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 s="43"/>
      <c r="AJ4"/>
      <c r="AK4"/>
      <c r="AL4" s="44"/>
      <c r="AM4"/>
      <c r="AN4"/>
    </row>
    <row r="5" spans="2:40" ht="17.100000000000001" customHeight="1">
      <c r="B5" s="61"/>
      <c r="C5"/>
      <c r="D5"/>
      <c r="E5"/>
      <c r="F5"/>
      <c r="G5"/>
      <c r="H5"/>
      <c r="I5" s="60"/>
      <c r="J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</row>
    <row r="6" spans="2:40" s="4" customFormat="1" ht="14.25" customHeight="1">
      <c r="B6" s="59"/>
      <c r="C6"/>
      <c r="D6"/>
      <c r="E6"/>
      <c r="F6"/>
      <c r="G6"/>
      <c r="H6"/>
      <c r="I6" s="60"/>
      <c r="J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 s="43"/>
      <c r="AJ6"/>
      <c r="AK6"/>
      <c r="AL6" s="44"/>
      <c r="AM6"/>
      <c r="AN6"/>
    </row>
    <row r="7" spans="2:40" ht="21" customHeight="1">
      <c r="B7" s="61"/>
      <c r="C7" s="43" t="s">
        <v>92</v>
      </c>
      <c r="D7"/>
      <c r="E7" s="46" t="s">
        <v>114</v>
      </c>
      <c r="F7" s="49"/>
      <c r="G7" s="49"/>
      <c r="H7" s="49"/>
      <c r="I7" s="70"/>
      <c r="J7" s="49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 s="43"/>
      <c r="AJ7"/>
      <c r="AK7"/>
      <c r="AL7" s="44"/>
      <c r="AM7"/>
      <c r="AN7"/>
    </row>
    <row r="8" spans="2:40" ht="17.100000000000001" customHeight="1">
      <c r="B8" s="61"/>
      <c r="C8" s="43"/>
      <c r="D8"/>
      <c r="E8" s="46"/>
      <c r="F8" s="45"/>
      <c r="G8" s="45"/>
      <c r="H8" s="45"/>
      <c r="I8" s="64"/>
      <c r="J8"/>
      <c r="L8" s="49"/>
      <c r="M8" s="49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</row>
    <row r="9" spans="2:40" ht="17.100000000000001" customHeight="1">
      <c r="B9" s="59"/>
      <c r="C9"/>
      <c r="D9"/>
      <c r="E9"/>
      <c r="F9"/>
      <c r="G9"/>
      <c r="H9"/>
      <c r="I9" s="60"/>
      <c r="J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 s="43"/>
      <c r="AJ9"/>
      <c r="AK9"/>
      <c r="AL9" s="44"/>
      <c r="AM9"/>
      <c r="AN9"/>
    </row>
    <row r="10" spans="2:40" ht="17.100000000000001" customHeight="1">
      <c r="B10" s="61"/>
      <c r="C10" s="43" t="s">
        <v>93</v>
      </c>
      <c r="D10"/>
      <c r="E10"/>
      <c r="F10"/>
      <c r="G10"/>
      <c r="H10"/>
      <c r="I10" s="60"/>
      <c r="J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 s="43"/>
      <c r="AJ10"/>
      <c r="AK10"/>
      <c r="AL10" s="44"/>
      <c r="AM10"/>
      <c r="AN10"/>
    </row>
    <row r="11" spans="2:40" ht="17.100000000000001" customHeight="1">
      <c r="B11" s="61"/>
      <c r="C11"/>
      <c r="D11"/>
      <c r="E11"/>
      <c r="F11"/>
      <c r="G11" s="81"/>
      <c r="H11"/>
      <c r="I11" s="60"/>
      <c r="J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</row>
    <row r="12" spans="2:40" ht="17.100000000000001" customHeight="1">
      <c r="B12" s="59"/>
      <c r="C12" s="43" t="s">
        <v>94</v>
      </c>
      <c r="D12"/>
      <c r="E12" s="50" t="s">
        <v>121</v>
      </c>
      <c r="F12" s="54" t="s">
        <v>95</v>
      </c>
      <c r="G12" s="78">
        <v>68975490</v>
      </c>
      <c r="I12" s="60"/>
      <c r="J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 s="43"/>
      <c r="AJ12"/>
      <c r="AK12"/>
      <c r="AL12" s="44"/>
      <c r="AM12"/>
      <c r="AN12"/>
    </row>
    <row r="13" spans="2:40" ht="17.100000000000001" customHeight="1">
      <c r="B13" s="61"/>
      <c r="C13" s="44"/>
      <c r="D13"/>
      <c r="E13" s="50" t="s">
        <v>116</v>
      </c>
      <c r="F13" s="54" t="s">
        <v>96</v>
      </c>
      <c r="G13" s="82"/>
      <c r="H13"/>
      <c r="I13" s="60"/>
      <c r="J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 s="43"/>
      <c r="AJ13"/>
      <c r="AK13"/>
      <c r="AL13" s="44"/>
      <c r="AM13"/>
      <c r="AN13"/>
    </row>
    <row r="14" spans="2:40" ht="17.100000000000001" customHeight="1">
      <c r="B14" s="61"/>
      <c r="C14" s="44"/>
      <c r="D14"/>
      <c r="E14" s="50"/>
      <c r="F14" s="54"/>
      <c r="G14"/>
      <c r="H14"/>
      <c r="I14" s="60"/>
      <c r="J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 s="43"/>
      <c r="AJ14"/>
      <c r="AK14"/>
      <c r="AL14" s="44"/>
      <c r="AM14"/>
      <c r="AN14"/>
    </row>
    <row r="15" spans="2:40" ht="17.100000000000001" customHeight="1">
      <c r="B15" s="61"/>
      <c r="C15" s="43" t="s">
        <v>97</v>
      </c>
      <c r="D15"/>
      <c r="E15" s="50" t="s">
        <v>1326</v>
      </c>
      <c r="F15" s="54" t="s">
        <v>95</v>
      </c>
      <c r="G15" s="80">
        <v>14869446</v>
      </c>
      <c r="H15"/>
      <c r="I15" s="60"/>
      <c r="J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</row>
    <row r="16" spans="2:40" ht="17.100000000000001" customHeight="1">
      <c r="B16" s="61"/>
      <c r="C16" s="43"/>
      <c r="D16"/>
      <c r="E16" s="50" t="s">
        <v>122</v>
      </c>
      <c r="F16" s="54" t="s">
        <v>96</v>
      </c>
      <c r="G16" s="80" t="s">
        <v>120</v>
      </c>
      <c r="H16" s="79"/>
      <c r="I16" s="60"/>
      <c r="J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</row>
    <row r="17" spans="2:40" ht="17.100000000000001" customHeight="1">
      <c r="B17" s="59"/>
      <c r="C17"/>
      <c r="D17"/>
      <c r="E17" s="50"/>
      <c r="G17" s="81"/>
      <c r="H17"/>
      <c r="I17" s="60"/>
      <c r="J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</row>
    <row r="18" spans="2:40" s="13" customFormat="1" ht="17.100000000000001" customHeight="1">
      <c r="B18" s="61"/>
      <c r="C18" s="43" t="s">
        <v>98</v>
      </c>
      <c r="D18" s="52"/>
      <c r="E18" s="50"/>
      <c r="F18" s="49"/>
      <c r="G18" s="52"/>
      <c r="H18" s="52"/>
      <c r="I18" s="62"/>
      <c r="J18" s="52"/>
      <c r="L18"/>
      <c r="M18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/>
      <c r="AN18"/>
    </row>
    <row r="19" spans="2:40" s="13" customFormat="1" ht="17.100000000000001" customHeight="1">
      <c r="B19" s="61"/>
      <c r="C19" s="43"/>
      <c r="D19" s="52"/>
      <c r="E19" s="52"/>
      <c r="F19" s="54"/>
      <c r="G19" s="52"/>
      <c r="H19" s="52"/>
      <c r="I19" s="62"/>
      <c r="J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/>
      <c r="AN19"/>
    </row>
    <row r="20" spans="2:40" s="13" customFormat="1" ht="17.100000000000001" customHeight="1">
      <c r="B20" s="61"/>
      <c r="C20"/>
      <c r="D20"/>
      <c r="E20"/>
      <c r="G20"/>
      <c r="H20"/>
      <c r="I20" s="60"/>
      <c r="J20"/>
      <c r="L20" s="52"/>
      <c r="M20" s="52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</row>
    <row r="21" spans="2:40" s="13" customFormat="1" ht="28.5" customHeight="1">
      <c r="B21" s="61"/>
      <c r="C21" s="43" t="s">
        <v>112</v>
      </c>
      <c r="D21"/>
      <c r="E21" s="46" t="s">
        <v>604</v>
      </c>
      <c r="F21" s="54"/>
      <c r="G21" s="314" t="str">
        <f>+'SO 01'!K292</f>
        <v>RTS I / 2024</v>
      </c>
      <c r="H21" s="394"/>
      <c r="I21" s="60"/>
      <c r="J21"/>
      <c r="L21" s="52"/>
      <c r="M21" s="52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</row>
    <row r="22" spans="2:40" s="13" customFormat="1" ht="28.5" customHeight="1">
      <c r="B22" s="61"/>
      <c r="C22"/>
      <c r="D22"/>
      <c r="E22" s="46" t="s">
        <v>603</v>
      </c>
      <c r="F22" s="54"/>
      <c r="G22" s="314" t="str">
        <f>+'SO 02'!K363</f>
        <v/>
      </c>
      <c r="H22" s="394"/>
      <c r="I22" s="60"/>
      <c r="J22"/>
      <c r="L22" s="52"/>
      <c r="M22" s="5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</row>
    <row r="23" spans="2:40" s="13" customFormat="1" ht="28.5" customHeight="1">
      <c r="B23" s="61"/>
      <c r="C23"/>
      <c r="D23"/>
      <c r="E23"/>
      <c r="G23"/>
      <c r="H23"/>
      <c r="I23" s="60"/>
      <c r="J23"/>
      <c r="L23" s="52"/>
      <c r="M23" s="52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</row>
    <row r="24" spans="2:40" s="13" customFormat="1" ht="28.5" customHeight="1">
      <c r="B24" s="61"/>
      <c r="D24"/>
      <c r="E24" s="46" t="s">
        <v>295</v>
      </c>
      <c r="F24" s="54"/>
      <c r="G24" s="314">
        <f>+'PS 01'!F95</f>
        <v>0</v>
      </c>
      <c r="H24"/>
      <c r="I24" s="60"/>
      <c r="J24"/>
      <c r="K24" s="83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</row>
    <row r="25" spans="2:40" s="13" customFormat="1" ht="28.5" customHeight="1">
      <c r="B25" s="61"/>
      <c r="C25" s="43"/>
      <c r="D25"/>
      <c r="E25" s="46" t="s">
        <v>54</v>
      </c>
      <c r="F25" s="54"/>
      <c r="G25" s="314">
        <f>+'PS 01-2'!F83</f>
        <v>0</v>
      </c>
      <c r="H25" s="399"/>
      <c r="I25" s="60"/>
      <c r="J25"/>
      <c r="K25" s="83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</row>
    <row r="26" spans="2:40" s="13" customFormat="1" ht="28.5" customHeight="1">
      <c r="B26" s="61"/>
      <c r="C26" s="43"/>
      <c r="D26"/>
      <c r="E26" s="46" t="s">
        <v>490</v>
      </c>
      <c r="F26" s="54"/>
      <c r="G26" s="314">
        <f>+'PS 02'!H110</f>
        <v>0</v>
      </c>
      <c r="H26" s="400"/>
      <c r="I26" s="60"/>
      <c r="J26"/>
      <c r="K26" s="83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</row>
    <row r="27" spans="2:40" ht="28.5" customHeight="1">
      <c r="B27" s="63"/>
      <c r="C27"/>
      <c r="D27"/>
      <c r="E27" s="46" t="s">
        <v>489</v>
      </c>
      <c r="F27" s="54"/>
      <c r="G27" s="314">
        <f>+'PS 02-2'!H116</f>
        <v>0</v>
      </c>
      <c r="H27" s="399"/>
      <c r="I27" s="60"/>
      <c r="J27"/>
      <c r="K27" s="83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 s="401"/>
      <c r="AJ27" s="402"/>
      <c r="AK27" s="402"/>
      <c r="AL27" s="402"/>
      <c r="AM27" s="402"/>
      <c r="AN27"/>
    </row>
    <row r="28" spans="2:40" ht="17.100000000000001" customHeight="1">
      <c r="B28" s="61"/>
      <c r="C28"/>
      <c r="D28"/>
      <c r="E28"/>
      <c r="F28"/>
      <c r="G28"/>
      <c r="H28"/>
      <c r="I28" s="60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</row>
    <row r="29" spans="2:40" ht="17.100000000000001" customHeight="1">
      <c r="B29" s="61"/>
      <c r="C29" s="53" t="s">
        <v>100</v>
      </c>
      <c r="D29"/>
      <c r="E29"/>
      <c r="F29" s="403">
        <f>SUM(G21:G27)</f>
        <v>0</v>
      </c>
      <c r="G29" s="403"/>
      <c r="H29" s="75"/>
      <c r="I29" s="60"/>
      <c r="J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</row>
    <row r="30" spans="2:40" ht="17.100000000000001" customHeight="1">
      <c r="B30" s="61"/>
      <c r="C30"/>
      <c r="D30"/>
      <c r="E30"/>
      <c r="F30"/>
      <c r="G30"/>
      <c r="H30"/>
      <c r="I30" s="60"/>
      <c r="J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</row>
    <row r="31" spans="2:40" ht="17.100000000000001" customHeight="1">
      <c r="B31" s="61"/>
      <c r="C31" s="54" t="s">
        <v>101</v>
      </c>
      <c r="D31" s="54" t="s">
        <v>102</v>
      </c>
      <c r="E31"/>
      <c r="F31" s="77">
        <v>0.21</v>
      </c>
      <c r="G31" s="84">
        <f>F29*F31</f>
        <v>0</v>
      </c>
      <c r="H31" s="84"/>
      <c r="I31" s="60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</row>
    <row r="32" spans="2:40" ht="17.100000000000001" customHeight="1">
      <c r="B32" s="61"/>
      <c r="C32" s="49"/>
      <c r="D32" s="54" t="s">
        <v>103</v>
      </c>
      <c r="E32"/>
      <c r="F32" s="77">
        <v>0.15</v>
      </c>
      <c r="G32" s="51"/>
      <c r="H32"/>
      <c r="I32" s="60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</row>
    <row r="33" spans="2:40" ht="17.100000000000001" customHeight="1">
      <c r="B33" s="61"/>
      <c r="C33" s="45"/>
      <c r="D33" s="54" t="s">
        <v>104</v>
      </c>
      <c r="E33"/>
      <c r="F33" s="77">
        <v>0.21</v>
      </c>
      <c r="G33" s="51"/>
      <c r="H33"/>
      <c r="I33" s="60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</row>
    <row r="34" spans="2:40" ht="17.100000000000001" customHeight="1">
      <c r="B34" s="61"/>
      <c r="C34" s="45"/>
      <c r="D34" s="54" t="s">
        <v>105</v>
      </c>
      <c r="E34"/>
      <c r="F34" s="77">
        <v>0.15</v>
      </c>
      <c r="G34" s="51"/>
      <c r="H34"/>
      <c r="I34" s="60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</row>
    <row r="35" spans="2:40" ht="17.100000000000001" customHeight="1">
      <c r="B35" s="61"/>
      <c r="C35" s="45"/>
      <c r="D35" s="54" t="s">
        <v>106</v>
      </c>
      <c r="E35"/>
      <c r="F35" s="77">
        <v>0</v>
      </c>
      <c r="G35" s="51"/>
      <c r="H35"/>
      <c r="I35" s="60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</row>
    <row r="36" spans="2:40" ht="17.100000000000001" customHeight="1">
      <c r="B36" s="65"/>
      <c r="C36" s="45"/>
      <c r="D36" s="45"/>
      <c r="E36" s="45"/>
      <c r="F36" s="45"/>
      <c r="G36" s="45"/>
      <c r="H36" s="45"/>
      <c r="I36" s="64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7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</row>
    <row r="37" spans="2:40" ht="17.100000000000001" customHeight="1">
      <c r="B37" s="61"/>
      <c r="C37" s="76" t="s">
        <v>107</v>
      </c>
      <c r="D37"/>
      <c r="E37"/>
      <c r="F37" s="84"/>
      <c r="G37" s="84">
        <f>F29+G31</f>
        <v>0</v>
      </c>
      <c r="H37"/>
      <c r="I37" s="60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</row>
    <row r="38" spans="2:40" ht="17.100000000000001" customHeight="1">
      <c r="B38" s="66"/>
      <c r="C38" s="67"/>
      <c r="D38" s="67"/>
      <c r="E38" s="67"/>
      <c r="F38" s="67"/>
      <c r="G38" s="67"/>
      <c r="H38" s="67"/>
      <c r="I38" s="6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</row>
    <row r="39" spans="2:40" ht="17.100000000000001" customHeight="1"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</row>
    <row r="40" spans="2:40" ht="17.100000000000001" customHeight="1">
      <c r="B40" s="56"/>
      <c r="C40" s="57"/>
      <c r="D40" s="57"/>
      <c r="E40" s="71"/>
      <c r="F40" s="57"/>
      <c r="G40" s="57"/>
      <c r="H40" s="57"/>
      <c r="I40" s="58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</row>
    <row r="41" spans="2:40" ht="17.100000000000001" customHeight="1">
      <c r="B41" s="61"/>
      <c r="C41" s="47" t="s">
        <v>108</v>
      </c>
      <c r="D41" s="45"/>
      <c r="E41" s="73" t="s">
        <v>110</v>
      </c>
      <c r="H41"/>
      <c r="I41" s="60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</row>
    <row r="42" spans="2:40" ht="17.100000000000001" customHeight="1">
      <c r="B42" s="61"/>
      <c r="C42"/>
      <c r="D42"/>
      <c r="E42"/>
      <c r="F42"/>
      <c r="G42"/>
      <c r="H42"/>
      <c r="I42" s="60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</row>
    <row r="43" spans="2:40" ht="17.100000000000001" customHeight="1">
      <c r="B43" s="61"/>
      <c r="C43"/>
      <c r="D43" s="69" t="s">
        <v>1327</v>
      </c>
      <c r="E43"/>
      <c r="F43" s="69" t="s">
        <v>118</v>
      </c>
      <c r="G43"/>
      <c r="H43"/>
      <c r="I43" s="60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</row>
    <row r="44" spans="2:40" ht="17.100000000000001" customHeight="1">
      <c r="B44" s="61"/>
      <c r="C44"/>
      <c r="D44" s="69" t="s">
        <v>117</v>
      </c>
      <c r="E44"/>
      <c r="F44" s="69" t="s">
        <v>115</v>
      </c>
      <c r="G44"/>
      <c r="H44"/>
      <c r="I44" s="60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</row>
    <row r="45" spans="2:40" ht="17.100000000000001" customHeight="1">
      <c r="B45" s="72"/>
      <c r="C45"/>
      <c r="D45" s="69" t="s">
        <v>1328</v>
      </c>
      <c r="E45"/>
      <c r="F45" s="69" t="s">
        <v>119</v>
      </c>
      <c r="G45"/>
      <c r="H45" s="45"/>
      <c r="I45" s="64"/>
      <c r="J45" s="45"/>
      <c r="K45" s="45"/>
      <c r="L45" s="45"/>
      <c r="M45" s="45"/>
      <c r="N45" s="45"/>
      <c r="O45" s="45"/>
      <c r="P45" s="48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8"/>
      <c r="AB45" s="45"/>
      <c r="AC45" s="45"/>
      <c r="AD45" s="45"/>
      <c r="AE45" s="45"/>
      <c r="AF45" s="45"/>
      <c r="AG45" s="45"/>
      <c r="AH45" s="45"/>
      <c r="AI45" s="45"/>
      <c r="AJ45" s="45"/>
      <c r="AK45" s="48"/>
      <c r="AL45" s="45"/>
      <c r="AM45" s="45"/>
      <c r="AN45" s="45"/>
    </row>
    <row r="46" spans="2:40" ht="17.100000000000001" customHeight="1">
      <c r="B46" s="61"/>
      <c r="C46"/>
      <c r="H46"/>
      <c r="I46" s="60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</row>
    <row r="47" spans="2:40" ht="17.100000000000001" customHeight="1">
      <c r="B47" s="65"/>
      <c r="C47"/>
      <c r="D47" s="69"/>
      <c r="E47"/>
      <c r="F47"/>
      <c r="G47"/>
      <c r="H47" s="45"/>
      <c r="I47" s="64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7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</row>
    <row r="48" spans="2:40" ht="17.100000000000001" customHeight="1">
      <c r="B48" s="61"/>
      <c r="C48"/>
      <c r="D48"/>
      <c r="E48"/>
      <c r="F48"/>
      <c r="G48"/>
      <c r="H48"/>
      <c r="I48" s="60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</row>
    <row r="49" spans="2:40" ht="17.100000000000001" customHeight="1">
      <c r="B49" s="61"/>
      <c r="C49"/>
      <c r="D49"/>
      <c r="E49"/>
      <c r="F49"/>
      <c r="G49"/>
      <c r="H49"/>
      <c r="I49" s="60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</row>
    <row r="50" spans="2:40" ht="17.100000000000001" customHeight="1">
      <c r="B50" s="61"/>
      <c r="C50" s="48" t="s">
        <v>109</v>
      </c>
      <c r="D50" s="45"/>
      <c r="E50" s="48"/>
      <c r="F50" s="48" t="s">
        <v>109</v>
      </c>
      <c r="H50" s="48"/>
      <c r="I50" s="6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</row>
    <row r="51" spans="2:40" ht="17.100000000000001" customHeight="1">
      <c r="B51" s="61"/>
      <c r="C51"/>
      <c r="D51"/>
      <c r="E51"/>
      <c r="F51"/>
      <c r="G51"/>
      <c r="H51"/>
      <c r="I51" s="60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</row>
    <row r="52" spans="2:40" ht="17.100000000000001" customHeight="1">
      <c r="B52" s="66"/>
      <c r="C52" s="74"/>
      <c r="D52" s="67"/>
      <c r="E52" s="67"/>
      <c r="F52" s="67"/>
      <c r="G52" s="67"/>
      <c r="H52" s="67"/>
      <c r="I52" s="68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</row>
    <row r="53" spans="2:40" ht="17.100000000000001" customHeight="1"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</row>
    <row r="54" spans="2:40" ht="17.100000000000001" customHeight="1"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</row>
    <row r="55" spans="2:40" ht="17.100000000000001" customHeight="1">
      <c r="B55"/>
      <c r="C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</row>
    <row r="59" spans="2:40">
      <c r="B59" s="9"/>
      <c r="C59" s="9"/>
    </row>
  </sheetData>
  <mergeCells count="2">
    <mergeCell ref="AI27:AM27"/>
    <mergeCell ref="F29:G29"/>
  </mergeCells>
  <pageMargins left="0.70866141732283472" right="0.51181102362204722" top="0.78740157480314965" bottom="0.78740157480314965" header="0.31496062992125984" footer="0.31496062992125984"/>
  <pageSetup paperSize="9" scale="9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4844F-3D3E-428A-8797-7726AF5833EB}">
  <sheetPr>
    <pageSetUpPr autoPageBreaks="0" fitToPage="1"/>
  </sheetPr>
  <dimension ref="A1:BZ327"/>
  <sheetViews>
    <sheetView showOutlineSymbols="0" workbookViewId="0">
      <pane ySplit="11" topLeftCell="A267" activePane="bottomLeft" state="frozenSplit"/>
      <selection activeCell="A294" sqref="A294:N294"/>
      <selection pane="bottomLeft" sqref="A1:XFD1048576"/>
    </sheetView>
  </sheetViews>
  <sheetFormatPr defaultColWidth="14.1640625" defaultRowHeight="15" customHeight="1"/>
  <cols>
    <col min="1" max="1" width="4.6640625" customWidth="1"/>
    <col min="2" max="2" width="20.83203125" customWidth="1"/>
    <col min="3" max="3" width="106.6640625" customWidth="1"/>
    <col min="4" max="4" width="41.6640625" customWidth="1"/>
    <col min="5" max="5" width="6.83203125" customWidth="1"/>
    <col min="6" max="6" width="15" customWidth="1"/>
    <col min="7" max="7" width="14" customWidth="1"/>
    <col min="8" max="10" width="18.33203125" customWidth="1"/>
    <col min="11" max="11" width="15.6640625" customWidth="1"/>
    <col min="76" max="76" width="91.6640625" hidden="1" customWidth="1"/>
  </cols>
  <sheetData>
    <row r="1" spans="1:76" ht="54.75" customHeight="1">
      <c r="A1" s="415" t="s">
        <v>1407</v>
      </c>
      <c r="B1" s="415"/>
      <c r="C1" s="415"/>
      <c r="D1" s="415"/>
      <c r="E1" s="415"/>
      <c r="F1" s="415"/>
      <c r="G1" s="415"/>
      <c r="H1" s="415"/>
      <c r="I1" s="415"/>
      <c r="J1" s="415"/>
      <c r="K1" s="415"/>
      <c r="AS1" s="416">
        <f>SUM(AJ1:AJ2)</f>
        <v>0</v>
      </c>
      <c r="AT1" s="416">
        <f>SUM(AK1:AK2)</f>
        <v>0</v>
      </c>
      <c r="AU1" s="416">
        <f>SUM(AL1:AL2)</f>
        <v>0</v>
      </c>
    </row>
    <row r="2" spans="1:76" ht="13.5">
      <c r="A2" s="417" t="s">
        <v>299</v>
      </c>
      <c r="B2" s="418"/>
      <c r="C2" s="419" t="s">
        <v>605</v>
      </c>
      <c r="D2" s="420"/>
      <c r="E2" s="418" t="s">
        <v>606</v>
      </c>
      <c r="F2" s="418"/>
      <c r="G2" s="418" t="s">
        <v>607</v>
      </c>
      <c r="H2" s="421" t="s">
        <v>94</v>
      </c>
      <c r="I2" s="421" t="s">
        <v>608</v>
      </c>
      <c r="J2" s="418"/>
      <c r="K2" s="422"/>
    </row>
    <row r="3" spans="1:76" ht="13.5">
      <c r="A3" s="423"/>
      <c r="B3" s="424"/>
      <c r="C3" s="425"/>
      <c r="D3" s="425"/>
      <c r="E3" s="424"/>
      <c r="F3" s="424"/>
      <c r="G3" s="424"/>
      <c r="H3" s="424"/>
      <c r="I3" s="424"/>
      <c r="J3" s="424"/>
      <c r="K3" s="426"/>
    </row>
    <row r="4" spans="1:76" ht="13.5">
      <c r="A4" s="427" t="s">
        <v>609</v>
      </c>
      <c r="B4" s="424"/>
      <c r="C4" s="428" t="s">
        <v>604</v>
      </c>
      <c r="D4" s="424"/>
      <c r="E4" s="424" t="s">
        <v>610</v>
      </c>
      <c r="F4" s="424"/>
      <c r="G4" s="424" t="s">
        <v>607</v>
      </c>
      <c r="H4" s="428" t="s">
        <v>98</v>
      </c>
      <c r="I4" s="428" t="s">
        <v>611</v>
      </c>
      <c r="J4" s="424"/>
      <c r="K4" s="426"/>
    </row>
    <row r="5" spans="1:76" ht="13.5">
      <c r="A5" s="423"/>
      <c r="B5" s="424"/>
      <c r="C5" s="424"/>
      <c r="D5" s="424"/>
      <c r="E5" s="424"/>
      <c r="F5" s="424"/>
      <c r="G5" s="424"/>
      <c r="H5" s="424"/>
      <c r="I5" s="424"/>
      <c r="J5" s="424"/>
      <c r="K5" s="426"/>
    </row>
    <row r="6" spans="1:76" ht="13.5">
      <c r="A6" s="427" t="s">
        <v>612</v>
      </c>
      <c r="B6" s="424"/>
      <c r="C6" s="428" t="s">
        <v>613</v>
      </c>
      <c r="D6" s="424"/>
      <c r="E6" s="424" t="s">
        <v>614</v>
      </c>
      <c r="F6" s="424"/>
      <c r="G6" s="424" t="s">
        <v>607</v>
      </c>
      <c r="H6" s="428" t="s">
        <v>97</v>
      </c>
      <c r="I6" s="424" t="s">
        <v>615</v>
      </c>
      <c r="J6" s="424"/>
      <c r="K6" s="426"/>
    </row>
    <row r="7" spans="1:76" ht="13.5">
      <c r="A7" s="423"/>
      <c r="B7" s="424"/>
      <c r="C7" s="424"/>
      <c r="D7" s="424"/>
      <c r="E7" s="424"/>
      <c r="F7" s="424"/>
      <c r="G7" s="424"/>
      <c r="H7" s="424"/>
      <c r="I7" s="424"/>
      <c r="J7" s="424"/>
      <c r="K7" s="426"/>
    </row>
    <row r="8" spans="1:76" ht="13.5">
      <c r="A8" s="427" t="s">
        <v>616</v>
      </c>
      <c r="B8" s="424"/>
      <c r="C8" s="428" t="s">
        <v>607</v>
      </c>
      <c r="D8" s="424"/>
      <c r="E8" s="424" t="s">
        <v>617</v>
      </c>
      <c r="F8" s="424"/>
      <c r="G8" s="424" t="s">
        <v>1408</v>
      </c>
      <c r="H8" s="428" t="s">
        <v>618</v>
      </c>
      <c r="I8" s="428" t="s">
        <v>619</v>
      </c>
      <c r="J8" s="424"/>
      <c r="K8" s="426"/>
    </row>
    <row r="9" spans="1:76" ht="14.25" thickBot="1">
      <c r="A9" s="423"/>
      <c r="B9" s="424"/>
      <c r="C9" s="424"/>
      <c r="D9" s="424"/>
      <c r="E9" s="424"/>
      <c r="F9" s="424"/>
      <c r="G9" s="424"/>
      <c r="H9" s="424"/>
      <c r="I9" s="424"/>
      <c r="J9" s="424"/>
      <c r="K9" s="426"/>
    </row>
    <row r="10" spans="1:76" ht="13.5">
      <c r="A10" s="429" t="s">
        <v>620</v>
      </c>
      <c r="B10" s="430" t="s">
        <v>621</v>
      </c>
      <c r="C10" s="431" t="s">
        <v>622</v>
      </c>
      <c r="D10" s="432"/>
      <c r="E10" s="430" t="s">
        <v>623</v>
      </c>
      <c r="F10" s="433" t="s">
        <v>624</v>
      </c>
      <c r="G10" s="434" t="s">
        <v>625</v>
      </c>
      <c r="H10" s="435" t="s">
        <v>626</v>
      </c>
      <c r="I10" s="436"/>
      <c r="J10" s="437"/>
      <c r="K10" s="433" t="s">
        <v>627</v>
      </c>
      <c r="BK10" s="438" t="s">
        <v>628</v>
      </c>
      <c r="BL10" s="439" t="s">
        <v>629</v>
      </c>
      <c r="BW10" s="439" t="s">
        <v>1409</v>
      </c>
    </row>
    <row r="11" spans="1:76" ht="14.25" thickBot="1">
      <c r="A11" s="440" t="s">
        <v>607</v>
      </c>
      <c r="B11" s="441" t="s">
        <v>607</v>
      </c>
      <c r="C11" s="442" t="s">
        <v>630</v>
      </c>
      <c r="D11" s="443"/>
      <c r="E11" s="441" t="s">
        <v>607</v>
      </c>
      <c r="F11" s="441" t="s">
        <v>607</v>
      </c>
      <c r="G11" s="444" t="s">
        <v>631</v>
      </c>
      <c r="H11" s="445" t="s">
        <v>632</v>
      </c>
      <c r="I11" s="446" t="s">
        <v>633</v>
      </c>
      <c r="J11" s="447" t="s">
        <v>634</v>
      </c>
      <c r="K11" s="446" t="s">
        <v>635</v>
      </c>
      <c r="Z11" s="438" t="s">
        <v>636</v>
      </c>
      <c r="AA11" s="438" t="s">
        <v>637</v>
      </c>
      <c r="AB11" s="438" t="s">
        <v>638</v>
      </c>
      <c r="AC11" s="438" t="s">
        <v>639</v>
      </c>
      <c r="AD11" s="438" t="s">
        <v>640</v>
      </c>
      <c r="AE11" s="438" t="s">
        <v>641</v>
      </c>
      <c r="AF11" s="438" t="s">
        <v>642</v>
      </c>
      <c r="AG11" s="438" t="s">
        <v>643</v>
      </c>
      <c r="AH11" s="438" t="s">
        <v>644</v>
      </c>
      <c r="BH11" s="438" t="s">
        <v>645</v>
      </c>
      <c r="BI11" s="438" t="s">
        <v>646</v>
      </c>
      <c r="BJ11" s="438" t="s">
        <v>647</v>
      </c>
    </row>
    <row r="12" spans="1:76" ht="13.5">
      <c r="A12" s="448" t="s">
        <v>648</v>
      </c>
      <c r="B12" s="449" t="s">
        <v>649</v>
      </c>
      <c r="C12" s="450" t="s">
        <v>650</v>
      </c>
      <c r="D12" s="451"/>
      <c r="E12" s="452" t="s">
        <v>607</v>
      </c>
      <c r="F12" s="452" t="s">
        <v>607</v>
      </c>
      <c r="G12" s="452" t="s">
        <v>607</v>
      </c>
      <c r="H12" s="416">
        <f>SUM(H13:H15)</f>
        <v>0</v>
      </c>
      <c r="I12" s="416">
        <f>SUM(I13:I15)</f>
        <v>0</v>
      </c>
      <c r="J12" s="416">
        <f>SUM(J13:J15)</f>
        <v>0</v>
      </c>
      <c r="K12" s="453" t="s">
        <v>648</v>
      </c>
      <c r="AI12" s="438" t="s">
        <v>648</v>
      </c>
      <c r="AS12" s="416">
        <f>SUM(AJ13:AJ15)</f>
        <v>0</v>
      </c>
      <c r="AT12" s="416">
        <f>SUM(AK13:AK15)</f>
        <v>0</v>
      </c>
      <c r="AU12" s="416">
        <f>SUM(AL13:AL15)</f>
        <v>0</v>
      </c>
    </row>
    <row r="13" spans="1:76" ht="13.5">
      <c r="A13" s="454" t="s">
        <v>651</v>
      </c>
      <c r="B13" s="455" t="s">
        <v>652</v>
      </c>
      <c r="C13" s="428" t="s">
        <v>653</v>
      </c>
      <c r="D13" s="424"/>
      <c r="E13" s="455" t="s">
        <v>654</v>
      </c>
      <c r="F13" s="456">
        <v>1</v>
      </c>
      <c r="G13" s="456">
        <v>0</v>
      </c>
      <c r="H13" s="456">
        <f>F13*AO13</f>
        <v>0</v>
      </c>
      <c r="I13" s="456">
        <f>F13*AP13</f>
        <v>0</v>
      </c>
      <c r="J13" s="456">
        <f>F13*G13</f>
        <v>0</v>
      </c>
      <c r="K13" s="457" t="s">
        <v>648</v>
      </c>
      <c r="Z13" s="456">
        <f>IF(AQ13="5",BJ13,0)</f>
        <v>0</v>
      </c>
      <c r="AB13" s="456">
        <f>IF(AQ13="1",BH13,0)</f>
        <v>0</v>
      </c>
      <c r="AC13" s="456">
        <f>IF(AQ13="1",BI13,0)</f>
        <v>0</v>
      </c>
      <c r="AD13" s="456">
        <f>IF(AQ13="7",BH13,0)</f>
        <v>0</v>
      </c>
      <c r="AE13" s="456">
        <f>IF(AQ13="7",BI13,0)</f>
        <v>0</v>
      </c>
      <c r="AF13" s="456">
        <f>IF(AQ13="2",BH13,0)</f>
        <v>0</v>
      </c>
      <c r="AG13" s="456">
        <f>IF(AQ13="2",BI13,0)</f>
        <v>0</v>
      </c>
      <c r="AH13" s="456">
        <f>IF(AQ13="0",BJ13,0)</f>
        <v>0</v>
      </c>
      <c r="AI13" s="438" t="s">
        <v>648</v>
      </c>
      <c r="AJ13" s="456">
        <f>IF(AN13=0,J13,0)</f>
        <v>0</v>
      </c>
      <c r="AK13" s="456">
        <f>IF(AN13=12,J13,0)</f>
        <v>0</v>
      </c>
      <c r="AL13" s="456">
        <f>IF(AN13=21,J13,0)</f>
        <v>0</v>
      </c>
      <c r="AN13" s="456">
        <v>21</v>
      </c>
      <c r="AO13" s="456">
        <f>G13*0</f>
        <v>0</v>
      </c>
      <c r="AP13" s="456">
        <f>G13*(1-0)</f>
        <v>0</v>
      </c>
      <c r="AQ13" s="458" t="s">
        <v>651</v>
      </c>
      <c r="AV13" s="456">
        <f>AW13+AX13</f>
        <v>0</v>
      </c>
      <c r="AW13" s="456">
        <f>F13*AO13</f>
        <v>0</v>
      </c>
      <c r="AX13" s="456">
        <f>F13*AP13</f>
        <v>0</v>
      </c>
      <c r="AY13" s="458" t="s">
        <v>655</v>
      </c>
      <c r="AZ13" s="458" t="s">
        <v>655</v>
      </c>
      <c r="BA13" s="438" t="s">
        <v>656</v>
      </c>
      <c r="BC13" s="456">
        <f>AW13+AX13</f>
        <v>0</v>
      </c>
      <c r="BD13" s="456">
        <f>G13/(100-BE13)*100</f>
        <v>0</v>
      </c>
      <c r="BE13" s="456">
        <v>0</v>
      </c>
      <c r="BF13" s="456">
        <f>13</f>
        <v>13</v>
      </c>
      <c r="BH13" s="456">
        <f>F13*AO13</f>
        <v>0</v>
      </c>
      <c r="BI13" s="456">
        <f>F13*AP13</f>
        <v>0</v>
      </c>
      <c r="BJ13" s="456">
        <f>F13*G13</f>
        <v>0</v>
      </c>
      <c r="BK13" s="456"/>
      <c r="BL13" s="456">
        <v>0</v>
      </c>
      <c r="BW13" s="456">
        <v>21</v>
      </c>
      <c r="BX13" s="459" t="s">
        <v>653</v>
      </c>
    </row>
    <row r="14" spans="1:76" ht="13.5">
      <c r="A14" s="460"/>
      <c r="C14" s="461" t="s">
        <v>657</v>
      </c>
      <c r="D14" s="461" t="s">
        <v>648</v>
      </c>
      <c r="F14" s="462">
        <v>1</v>
      </c>
      <c r="K14" s="463"/>
    </row>
    <row r="15" spans="1:76" ht="13.5">
      <c r="A15" s="454" t="s">
        <v>660</v>
      </c>
      <c r="B15" s="455" t="s">
        <v>1076</v>
      </c>
      <c r="C15" s="428" t="s">
        <v>1077</v>
      </c>
      <c r="D15" s="424"/>
      <c r="E15" s="455" t="s">
        <v>654</v>
      </c>
      <c r="F15" s="456">
        <v>1</v>
      </c>
      <c r="G15" s="456">
        <v>0</v>
      </c>
      <c r="H15" s="456">
        <f>F15*AO15</f>
        <v>0</v>
      </c>
      <c r="I15" s="456">
        <f>F15*AP15</f>
        <v>0</v>
      </c>
      <c r="J15" s="456">
        <f>F15*G15</f>
        <v>0</v>
      </c>
      <c r="K15" s="457" t="s">
        <v>648</v>
      </c>
      <c r="Z15" s="456">
        <f>IF(AQ15="5",BJ15,0)</f>
        <v>0</v>
      </c>
      <c r="AB15" s="456">
        <f>IF(AQ15="1",BH15,0)</f>
        <v>0</v>
      </c>
      <c r="AC15" s="456">
        <f>IF(AQ15="1",BI15,0)</f>
        <v>0</v>
      </c>
      <c r="AD15" s="456">
        <f>IF(AQ15="7",BH15,0)</f>
        <v>0</v>
      </c>
      <c r="AE15" s="456">
        <f>IF(AQ15="7",BI15,0)</f>
        <v>0</v>
      </c>
      <c r="AF15" s="456">
        <f>IF(AQ15="2",BH15,0)</f>
        <v>0</v>
      </c>
      <c r="AG15" s="456">
        <f>IF(AQ15="2",BI15,0)</f>
        <v>0</v>
      </c>
      <c r="AH15" s="456">
        <f>IF(AQ15="0",BJ15,0)</f>
        <v>0</v>
      </c>
      <c r="AI15" s="438" t="s">
        <v>648</v>
      </c>
      <c r="AJ15" s="456">
        <f>IF(AN15=0,J15,0)</f>
        <v>0</v>
      </c>
      <c r="AK15" s="456">
        <f>IF(AN15=12,J15,0)</f>
        <v>0</v>
      </c>
      <c r="AL15" s="456">
        <f>IF(AN15=21,J15,0)</f>
        <v>0</v>
      </c>
      <c r="AN15" s="456">
        <v>21</v>
      </c>
      <c r="AO15" s="456">
        <f>G15*0</f>
        <v>0</v>
      </c>
      <c r="AP15" s="456">
        <f>G15*(1-0)</f>
        <v>0</v>
      </c>
      <c r="AQ15" s="458" t="s">
        <v>651</v>
      </c>
      <c r="AV15" s="456">
        <f>AW15+AX15</f>
        <v>0</v>
      </c>
      <c r="AW15" s="456">
        <f>F15*AO15</f>
        <v>0</v>
      </c>
      <c r="AX15" s="456">
        <f>F15*AP15</f>
        <v>0</v>
      </c>
      <c r="AY15" s="458" t="s">
        <v>655</v>
      </c>
      <c r="AZ15" s="458" t="s">
        <v>655</v>
      </c>
      <c r="BA15" s="438" t="s">
        <v>656</v>
      </c>
      <c r="BC15" s="456">
        <f>AW15+AX15</f>
        <v>0</v>
      </c>
      <c r="BD15" s="456">
        <f>G15/(100-BE15)*100</f>
        <v>0</v>
      </c>
      <c r="BE15" s="456">
        <v>0</v>
      </c>
      <c r="BF15" s="456">
        <f>15</f>
        <v>15</v>
      </c>
      <c r="BH15" s="456">
        <f>F15*AO15</f>
        <v>0</v>
      </c>
      <c r="BI15" s="456">
        <f>F15*AP15</f>
        <v>0</v>
      </c>
      <c r="BJ15" s="456">
        <f>F15*G15</f>
        <v>0</v>
      </c>
      <c r="BK15" s="456"/>
      <c r="BL15" s="456">
        <v>0</v>
      </c>
      <c r="BW15" s="456">
        <v>21</v>
      </c>
      <c r="BX15" s="459" t="s">
        <v>1077</v>
      </c>
    </row>
    <row r="16" spans="1:76" ht="13.5">
      <c r="A16" s="460"/>
      <c r="C16" s="461" t="s">
        <v>1078</v>
      </c>
      <c r="D16" s="461" t="s">
        <v>648</v>
      </c>
      <c r="F16" s="462">
        <v>1</v>
      </c>
      <c r="K16" s="463"/>
    </row>
    <row r="17" spans="1:76" ht="13.5">
      <c r="A17" s="448" t="s">
        <v>648</v>
      </c>
      <c r="B17" s="449" t="s">
        <v>658</v>
      </c>
      <c r="C17" s="450" t="s">
        <v>659</v>
      </c>
      <c r="D17" s="451"/>
      <c r="E17" s="452" t="s">
        <v>607</v>
      </c>
      <c r="F17" s="452" t="s">
        <v>607</v>
      </c>
      <c r="G17" s="452" t="s">
        <v>607</v>
      </c>
      <c r="H17" s="416">
        <f>SUM(H18:H24)</f>
        <v>0</v>
      </c>
      <c r="I17" s="416">
        <f>SUM(I18:I24)</f>
        <v>0</v>
      </c>
      <c r="J17" s="416">
        <f>SUM(J18:J24)</f>
        <v>0</v>
      </c>
      <c r="K17" s="453" t="s">
        <v>648</v>
      </c>
      <c r="AI17" s="438" t="s">
        <v>648</v>
      </c>
      <c r="AS17" s="416">
        <f>SUM(AJ18:AJ24)</f>
        <v>0</v>
      </c>
      <c r="AT17" s="416">
        <f>SUM(AK18:AK24)</f>
        <v>0</v>
      </c>
      <c r="AU17" s="416">
        <f>SUM(AL18:AL24)</f>
        <v>0</v>
      </c>
    </row>
    <row r="18" spans="1:76" ht="13.5">
      <c r="A18" s="454" t="s">
        <v>665</v>
      </c>
      <c r="B18" s="455" t="s">
        <v>661</v>
      </c>
      <c r="C18" s="428" t="s">
        <v>662</v>
      </c>
      <c r="D18" s="424"/>
      <c r="E18" s="455" t="s">
        <v>7</v>
      </c>
      <c r="F18" s="456">
        <v>1</v>
      </c>
      <c r="G18" s="456">
        <v>0</v>
      </c>
      <c r="H18" s="456">
        <f>F18*AO18</f>
        <v>0</v>
      </c>
      <c r="I18" s="456">
        <f>F18*AP18</f>
        <v>0</v>
      </c>
      <c r="J18" s="456">
        <f>F18*G18</f>
        <v>0</v>
      </c>
      <c r="K18" s="457" t="s">
        <v>1410</v>
      </c>
      <c r="Z18" s="456">
        <f>IF(AQ18="5",BJ18,0)</f>
        <v>0</v>
      </c>
      <c r="AB18" s="456">
        <f>IF(AQ18="1",BH18,0)</f>
        <v>0</v>
      </c>
      <c r="AC18" s="456">
        <f>IF(AQ18="1",BI18,0)</f>
        <v>0</v>
      </c>
      <c r="AD18" s="456">
        <f>IF(AQ18="7",BH18,0)</f>
        <v>0</v>
      </c>
      <c r="AE18" s="456">
        <f>IF(AQ18="7",BI18,0)</f>
        <v>0</v>
      </c>
      <c r="AF18" s="456">
        <f>IF(AQ18="2",BH18,0)</f>
        <v>0</v>
      </c>
      <c r="AG18" s="456">
        <f>IF(AQ18="2",BI18,0)</f>
        <v>0</v>
      </c>
      <c r="AH18" s="456">
        <f>IF(AQ18="0",BJ18,0)</f>
        <v>0</v>
      </c>
      <c r="AI18" s="438" t="s">
        <v>648</v>
      </c>
      <c r="AJ18" s="456">
        <f>IF(AN18=0,J18,0)</f>
        <v>0</v>
      </c>
      <c r="AK18" s="456">
        <f>IF(AN18=12,J18,0)</f>
        <v>0</v>
      </c>
      <c r="AL18" s="456">
        <f>IF(AN18=21,J18,0)</f>
        <v>0</v>
      </c>
      <c r="AN18" s="456">
        <v>21</v>
      </c>
      <c r="AO18" s="456">
        <f>G18*0.291967213</f>
        <v>0</v>
      </c>
      <c r="AP18" s="456">
        <f>G18*(1-0.291967213)</f>
        <v>0</v>
      </c>
      <c r="AQ18" s="458" t="s">
        <v>651</v>
      </c>
      <c r="AV18" s="456">
        <f>AW18+AX18</f>
        <v>0</v>
      </c>
      <c r="AW18" s="456">
        <f>F18*AO18</f>
        <v>0</v>
      </c>
      <c r="AX18" s="456">
        <f>F18*AP18</f>
        <v>0</v>
      </c>
      <c r="AY18" s="458" t="s">
        <v>663</v>
      </c>
      <c r="AZ18" s="458" t="s">
        <v>664</v>
      </c>
      <c r="BA18" s="438" t="s">
        <v>656</v>
      </c>
      <c r="BC18" s="456">
        <f>AW18+AX18</f>
        <v>0</v>
      </c>
      <c r="BD18" s="456">
        <f>G18/(100-BE18)*100</f>
        <v>0</v>
      </c>
      <c r="BE18" s="456">
        <v>0</v>
      </c>
      <c r="BF18" s="456">
        <f>18</f>
        <v>18</v>
      </c>
      <c r="BH18" s="456">
        <f>F18*AO18</f>
        <v>0</v>
      </c>
      <c r="BI18" s="456">
        <f>F18*AP18</f>
        <v>0</v>
      </c>
      <c r="BJ18" s="456">
        <f>F18*G18</f>
        <v>0</v>
      </c>
      <c r="BK18" s="456"/>
      <c r="BL18" s="456">
        <v>11</v>
      </c>
      <c r="BW18" s="456">
        <v>21</v>
      </c>
      <c r="BX18" s="459" t="s">
        <v>662</v>
      </c>
    </row>
    <row r="19" spans="1:76" ht="13.5">
      <c r="A19" s="460"/>
      <c r="C19" s="461" t="s">
        <v>1079</v>
      </c>
      <c r="D19" s="461" t="s">
        <v>648</v>
      </c>
      <c r="F19" s="462">
        <v>1</v>
      </c>
      <c r="K19" s="463"/>
    </row>
    <row r="20" spans="1:76" ht="13.5">
      <c r="A20" s="454" t="s">
        <v>668</v>
      </c>
      <c r="B20" s="455" t="s">
        <v>666</v>
      </c>
      <c r="C20" s="428" t="s">
        <v>667</v>
      </c>
      <c r="D20" s="424"/>
      <c r="E20" s="455" t="s">
        <v>7</v>
      </c>
      <c r="F20" s="456">
        <v>1</v>
      </c>
      <c r="G20" s="456">
        <v>0</v>
      </c>
      <c r="H20" s="456">
        <f>F20*AO20</f>
        <v>0</v>
      </c>
      <c r="I20" s="456">
        <f>F20*AP20</f>
        <v>0</v>
      </c>
      <c r="J20" s="456">
        <f>F20*G20</f>
        <v>0</v>
      </c>
      <c r="K20" s="457" t="s">
        <v>1410</v>
      </c>
      <c r="Z20" s="456">
        <f>IF(AQ20="5",BJ20,0)</f>
        <v>0</v>
      </c>
      <c r="AB20" s="456">
        <f>IF(AQ20="1",BH20,0)</f>
        <v>0</v>
      </c>
      <c r="AC20" s="456">
        <f>IF(AQ20="1",BI20,0)</f>
        <v>0</v>
      </c>
      <c r="AD20" s="456">
        <f>IF(AQ20="7",BH20,0)</f>
        <v>0</v>
      </c>
      <c r="AE20" s="456">
        <f>IF(AQ20="7",BI20,0)</f>
        <v>0</v>
      </c>
      <c r="AF20" s="456">
        <f>IF(AQ20="2",BH20,0)</f>
        <v>0</v>
      </c>
      <c r="AG20" s="456">
        <f>IF(AQ20="2",BI20,0)</f>
        <v>0</v>
      </c>
      <c r="AH20" s="456">
        <f>IF(AQ20="0",BJ20,0)</f>
        <v>0</v>
      </c>
      <c r="AI20" s="438" t="s">
        <v>648</v>
      </c>
      <c r="AJ20" s="456">
        <f>IF(AN20=0,J20,0)</f>
        <v>0</v>
      </c>
      <c r="AK20" s="456">
        <f>IF(AN20=12,J20,0)</f>
        <v>0</v>
      </c>
      <c r="AL20" s="456">
        <f>IF(AN20=21,J20,0)</f>
        <v>0</v>
      </c>
      <c r="AN20" s="456">
        <v>21</v>
      </c>
      <c r="AO20" s="456">
        <f>G20*0.257169811</f>
        <v>0</v>
      </c>
      <c r="AP20" s="456">
        <f>G20*(1-0.257169811)</f>
        <v>0</v>
      </c>
      <c r="AQ20" s="458" t="s">
        <v>651</v>
      </c>
      <c r="AV20" s="456">
        <f>AW20+AX20</f>
        <v>0</v>
      </c>
      <c r="AW20" s="456">
        <f>F20*AO20</f>
        <v>0</v>
      </c>
      <c r="AX20" s="456">
        <f>F20*AP20</f>
        <v>0</v>
      </c>
      <c r="AY20" s="458" t="s">
        <v>663</v>
      </c>
      <c r="AZ20" s="458" t="s">
        <v>664</v>
      </c>
      <c r="BA20" s="438" t="s">
        <v>656</v>
      </c>
      <c r="BC20" s="456">
        <f>AW20+AX20</f>
        <v>0</v>
      </c>
      <c r="BD20" s="456">
        <f>G20/(100-BE20)*100</f>
        <v>0</v>
      </c>
      <c r="BE20" s="456">
        <v>0</v>
      </c>
      <c r="BF20" s="456">
        <f>20</f>
        <v>20</v>
      </c>
      <c r="BH20" s="456">
        <f>F20*AO20</f>
        <v>0</v>
      </c>
      <c r="BI20" s="456">
        <f>F20*AP20</f>
        <v>0</v>
      </c>
      <c r="BJ20" s="456">
        <f>F20*G20</f>
        <v>0</v>
      </c>
      <c r="BK20" s="456"/>
      <c r="BL20" s="456">
        <v>11</v>
      </c>
      <c r="BW20" s="456">
        <v>21</v>
      </c>
      <c r="BX20" s="459" t="s">
        <v>667</v>
      </c>
    </row>
    <row r="21" spans="1:76" ht="13.5">
      <c r="A21" s="460"/>
      <c r="C21" s="461" t="s">
        <v>651</v>
      </c>
      <c r="D21" s="461" t="s">
        <v>648</v>
      </c>
      <c r="F21" s="462">
        <v>1</v>
      </c>
      <c r="K21" s="463"/>
    </row>
    <row r="22" spans="1:76" ht="13.5">
      <c r="A22" s="454" t="s">
        <v>673</v>
      </c>
      <c r="B22" s="455" t="s">
        <v>676</v>
      </c>
      <c r="C22" s="428" t="s">
        <v>677</v>
      </c>
      <c r="D22" s="424"/>
      <c r="E22" s="455" t="s">
        <v>40</v>
      </c>
      <c r="F22" s="456">
        <v>9</v>
      </c>
      <c r="G22" s="456">
        <v>0</v>
      </c>
      <c r="H22" s="456">
        <f>F22*AO22</f>
        <v>0</v>
      </c>
      <c r="I22" s="456">
        <f>F22*AP22</f>
        <v>0</v>
      </c>
      <c r="J22" s="456">
        <f>F22*G22</f>
        <v>0</v>
      </c>
      <c r="K22" s="457" t="s">
        <v>1410</v>
      </c>
      <c r="Z22" s="456">
        <f>IF(AQ22="5",BJ22,0)</f>
        <v>0</v>
      </c>
      <c r="AB22" s="456">
        <f>IF(AQ22="1",BH22,0)</f>
        <v>0</v>
      </c>
      <c r="AC22" s="456">
        <f>IF(AQ22="1",BI22,0)</f>
        <v>0</v>
      </c>
      <c r="AD22" s="456">
        <f>IF(AQ22="7",BH22,0)</f>
        <v>0</v>
      </c>
      <c r="AE22" s="456">
        <f>IF(AQ22="7",BI22,0)</f>
        <v>0</v>
      </c>
      <c r="AF22" s="456">
        <f>IF(AQ22="2",BH22,0)</f>
        <v>0</v>
      </c>
      <c r="AG22" s="456">
        <f>IF(AQ22="2",BI22,0)</f>
        <v>0</v>
      </c>
      <c r="AH22" s="456">
        <f>IF(AQ22="0",BJ22,0)</f>
        <v>0</v>
      </c>
      <c r="AI22" s="438" t="s">
        <v>648</v>
      </c>
      <c r="AJ22" s="456">
        <f>IF(AN22=0,J22,0)</f>
        <v>0</v>
      </c>
      <c r="AK22" s="456">
        <f>IF(AN22=12,J22,0)</f>
        <v>0</v>
      </c>
      <c r="AL22" s="456">
        <f>IF(AN22=21,J22,0)</f>
        <v>0</v>
      </c>
      <c r="AN22" s="456">
        <v>21</v>
      </c>
      <c r="AO22" s="456">
        <f>G22*0</f>
        <v>0</v>
      </c>
      <c r="AP22" s="456">
        <f>G22*(1-0)</f>
        <v>0</v>
      </c>
      <c r="AQ22" s="458" t="s">
        <v>651</v>
      </c>
      <c r="AV22" s="456">
        <f>AW22+AX22</f>
        <v>0</v>
      </c>
      <c r="AW22" s="456">
        <f>F22*AO22</f>
        <v>0</v>
      </c>
      <c r="AX22" s="456">
        <f>F22*AP22</f>
        <v>0</v>
      </c>
      <c r="AY22" s="458" t="s">
        <v>663</v>
      </c>
      <c r="AZ22" s="458" t="s">
        <v>664</v>
      </c>
      <c r="BA22" s="438" t="s">
        <v>656</v>
      </c>
      <c r="BC22" s="456">
        <f>AW22+AX22</f>
        <v>0</v>
      </c>
      <c r="BD22" s="456">
        <f>G22/(100-BE22)*100</f>
        <v>0</v>
      </c>
      <c r="BE22" s="456">
        <v>0</v>
      </c>
      <c r="BF22" s="456">
        <f>22</f>
        <v>22</v>
      </c>
      <c r="BH22" s="456">
        <f>F22*AO22</f>
        <v>0</v>
      </c>
      <c r="BI22" s="456">
        <f>F22*AP22</f>
        <v>0</v>
      </c>
      <c r="BJ22" s="456">
        <f>F22*G22</f>
        <v>0</v>
      </c>
      <c r="BK22" s="456"/>
      <c r="BL22" s="456">
        <v>11</v>
      </c>
      <c r="BW22" s="456">
        <v>21</v>
      </c>
      <c r="BX22" s="459" t="s">
        <v>677</v>
      </c>
    </row>
    <row r="23" spans="1:76" ht="13.5">
      <c r="A23" s="460"/>
      <c r="C23" s="461" t="s">
        <v>690</v>
      </c>
      <c r="D23" s="461" t="s">
        <v>648</v>
      </c>
      <c r="F23" s="462">
        <v>9</v>
      </c>
      <c r="K23" s="463"/>
    </row>
    <row r="24" spans="1:76" ht="13.5">
      <c r="A24" s="454" t="s">
        <v>675</v>
      </c>
      <c r="B24" s="455" t="s">
        <v>680</v>
      </c>
      <c r="C24" s="428" t="s">
        <v>1411</v>
      </c>
      <c r="D24" s="424"/>
      <c r="E24" s="455" t="s">
        <v>40</v>
      </c>
      <c r="F24" s="456">
        <v>9</v>
      </c>
      <c r="G24" s="456">
        <v>0</v>
      </c>
      <c r="H24" s="456">
        <f>F24*AO24</f>
        <v>0</v>
      </c>
      <c r="I24" s="456">
        <f>F24*AP24</f>
        <v>0</v>
      </c>
      <c r="J24" s="456">
        <f>F24*G24</f>
        <v>0</v>
      </c>
      <c r="K24" s="457" t="s">
        <v>1410</v>
      </c>
      <c r="Z24" s="456">
        <f>IF(AQ24="5",BJ24,0)</f>
        <v>0</v>
      </c>
      <c r="AB24" s="456">
        <f>IF(AQ24="1",BH24,0)</f>
        <v>0</v>
      </c>
      <c r="AC24" s="456">
        <f>IF(AQ24="1",BI24,0)</f>
        <v>0</v>
      </c>
      <c r="AD24" s="456">
        <f>IF(AQ24="7",BH24,0)</f>
        <v>0</v>
      </c>
      <c r="AE24" s="456">
        <f>IF(AQ24="7",BI24,0)</f>
        <v>0</v>
      </c>
      <c r="AF24" s="456">
        <f>IF(AQ24="2",BH24,0)</f>
        <v>0</v>
      </c>
      <c r="AG24" s="456">
        <f>IF(AQ24="2",BI24,0)</f>
        <v>0</v>
      </c>
      <c r="AH24" s="456">
        <f>IF(AQ24="0",BJ24,0)</f>
        <v>0</v>
      </c>
      <c r="AI24" s="438" t="s">
        <v>648</v>
      </c>
      <c r="AJ24" s="456">
        <f>IF(AN24=0,J24,0)</f>
        <v>0</v>
      </c>
      <c r="AK24" s="456">
        <f>IF(AN24=12,J24,0)</f>
        <v>0</v>
      </c>
      <c r="AL24" s="456">
        <f>IF(AN24=21,J24,0)</f>
        <v>0</v>
      </c>
      <c r="AN24" s="456">
        <v>21</v>
      </c>
      <c r="AO24" s="456">
        <f>G24*0</f>
        <v>0</v>
      </c>
      <c r="AP24" s="456">
        <f>G24*(1-0)</f>
        <v>0</v>
      </c>
      <c r="AQ24" s="458" t="s">
        <v>651</v>
      </c>
      <c r="AV24" s="456">
        <f>AW24+AX24</f>
        <v>0</v>
      </c>
      <c r="AW24" s="456">
        <f>F24*AO24</f>
        <v>0</v>
      </c>
      <c r="AX24" s="456">
        <f>F24*AP24</f>
        <v>0</v>
      </c>
      <c r="AY24" s="458" t="s">
        <v>663</v>
      </c>
      <c r="AZ24" s="458" t="s">
        <v>664</v>
      </c>
      <c r="BA24" s="438" t="s">
        <v>656</v>
      </c>
      <c r="BC24" s="456">
        <f>AW24+AX24</f>
        <v>0</v>
      </c>
      <c r="BD24" s="456">
        <f>G24/(100-BE24)*100</f>
        <v>0</v>
      </c>
      <c r="BE24" s="456">
        <v>0</v>
      </c>
      <c r="BF24" s="456">
        <f>24</f>
        <v>24</v>
      </c>
      <c r="BH24" s="456">
        <f>F24*AO24</f>
        <v>0</v>
      </c>
      <c r="BI24" s="456">
        <f>F24*AP24</f>
        <v>0</v>
      </c>
      <c r="BJ24" s="456">
        <f>F24*G24</f>
        <v>0</v>
      </c>
      <c r="BK24" s="456"/>
      <c r="BL24" s="456">
        <v>11</v>
      </c>
      <c r="BW24" s="456">
        <v>21</v>
      </c>
      <c r="BX24" s="459" t="s">
        <v>1411</v>
      </c>
    </row>
    <row r="25" spans="1:76" ht="13.5">
      <c r="A25" s="460"/>
      <c r="C25" s="461" t="s">
        <v>690</v>
      </c>
      <c r="D25" s="461" t="s">
        <v>648</v>
      </c>
      <c r="F25" s="462">
        <v>9</v>
      </c>
      <c r="K25" s="463"/>
    </row>
    <row r="26" spans="1:76" ht="13.5">
      <c r="A26" s="448" t="s">
        <v>648</v>
      </c>
      <c r="B26" s="449" t="s">
        <v>682</v>
      </c>
      <c r="C26" s="450" t="s">
        <v>683</v>
      </c>
      <c r="D26" s="451"/>
      <c r="E26" s="452" t="s">
        <v>607</v>
      </c>
      <c r="F26" s="452" t="s">
        <v>607</v>
      </c>
      <c r="G26" s="452" t="s">
        <v>607</v>
      </c>
      <c r="H26" s="416">
        <f>SUM(H27:H39)</f>
        <v>0</v>
      </c>
      <c r="I26" s="416">
        <f>SUM(I27:I39)</f>
        <v>0</v>
      </c>
      <c r="J26" s="416">
        <f>SUM(J27:J39)</f>
        <v>0</v>
      </c>
      <c r="K26" s="453" t="s">
        <v>648</v>
      </c>
      <c r="AI26" s="438" t="s">
        <v>648</v>
      </c>
      <c r="AS26" s="416">
        <f>SUM(AJ27:AJ39)</f>
        <v>0</v>
      </c>
      <c r="AT26" s="416">
        <f>SUM(AK27:AK39)</f>
        <v>0</v>
      </c>
      <c r="AU26" s="416">
        <f>SUM(AL27:AL39)</f>
        <v>0</v>
      </c>
    </row>
    <row r="27" spans="1:76" ht="13.5">
      <c r="A27" s="454" t="s">
        <v>679</v>
      </c>
      <c r="B27" s="455" t="s">
        <v>685</v>
      </c>
      <c r="C27" s="428" t="s">
        <v>686</v>
      </c>
      <c r="D27" s="424"/>
      <c r="E27" s="455" t="s">
        <v>687</v>
      </c>
      <c r="F27" s="456">
        <v>76.257499999999993</v>
      </c>
      <c r="G27" s="456">
        <v>0</v>
      </c>
      <c r="H27" s="456">
        <f>F27*AO27</f>
        <v>0</v>
      </c>
      <c r="I27" s="456">
        <f>F27*AP27</f>
        <v>0</v>
      </c>
      <c r="J27" s="456">
        <f>F27*G27</f>
        <v>0</v>
      </c>
      <c r="K27" s="457" t="s">
        <v>1410</v>
      </c>
      <c r="Z27" s="456">
        <f>IF(AQ27="5",BJ27,0)</f>
        <v>0</v>
      </c>
      <c r="AB27" s="456">
        <f>IF(AQ27="1",BH27,0)</f>
        <v>0</v>
      </c>
      <c r="AC27" s="456">
        <f>IF(AQ27="1",BI27,0)</f>
        <v>0</v>
      </c>
      <c r="AD27" s="456">
        <f>IF(AQ27="7",BH27,0)</f>
        <v>0</v>
      </c>
      <c r="AE27" s="456">
        <f>IF(AQ27="7",BI27,0)</f>
        <v>0</v>
      </c>
      <c r="AF27" s="456">
        <f>IF(AQ27="2",BH27,0)</f>
        <v>0</v>
      </c>
      <c r="AG27" s="456">
        <f>IF(AQ27="2",BI27,0)</f>
        <v>0</v>
      </c>
      <c r="AH27" s="456">
        <f>IF(AQ27="0",BJ27,0)</f>
        <v>0</v>
      </c>
      <c r="AI27" s="438" t="s">
        <v>648</v>
      </c>
      <c r="AJ27" s="456">
        <f>IF(AN27=0,J27,0)</f>
        <v>0</v>
      </c>
      <c r="AK27" s="456">
        <f>IF(AN27=12,J27,0)</f>
        <v>0</v>
      </c>
      <c r="AL27" s="456">
        <f>IF(AN27=21,J27,0)</f>
        <v>0</v>
      </c>
      <c r="AN27" s="456">
        <v>21</v>
      </c>
      <c r="AO27" s="456">
        <f>G27*0</f>
        <v>0</v>
      </c>
      <c r="AP27" s="456">
        <f>G27*(1-0)</f>
        <v>0</v>
      </c>
      <c r="AQ27" s="458" t="s">
        <v>651</v>
      </c>
      <c r="AV27" s="456">
        <f>AW27+AX27</f>
        <v>0</v>
      </c>
      <c r="AW27" s="456">
        <f>F27*AO27</f>
        <v>0</v>
      </c>
      <c r="AX27" s="456">
        <f>F27*AP27</f>
        <v>0</v>
      </c>
      <c r="AY27" s="458" t="s">
        <v>688</v>
      </c>
      <c r="AZ27" s="458" t="s">
        <v>664</v>
      </c>
      <c r="BA27" s="438" t="s">
        <v>656</v>
      </c>
      <c r="BC27" s="456">
        <f>AW27+AX27</f>
        <v>0</v>
      </c>
      <c r="BD27" s="456">
        <f>G27/(100-BE27)*100</f>
        <v>0</v>
      </c>
      <c r="BE27" s="456">
        <v>0</v>
      </c>
      <c r="BF27" s="456">
        <f>27</f>
        <v>27</v>
      </c>
      <c r="BH27" s="456">
        <f>F27*AO27</f>
        <v>0</v>
      </c>
      <c r="BI27" s="456">
        <f>F27*AP27</f>
        <v>0</v>
      </c>
      <c r="BJ27" s="456">
        <f>F27*G27</f>
        <v>0</v>
      </c>
      <c r="BK27" s="456"/>
      <c r="BL27" s="456">
        <v>13</v>
      </c>
      <c r="BW27" s="456">
        <v>21</v>
      </c>
      <c r="BX27" s="459" t="s">
        <v>686</v>
      </c>
    </row>
    <row r="28" spans="1:76" ht="13.5">
      <c r="A28" s="460"/>
      <c r="C28" s="461" t="s">
        <v>1080</v>
      </c>
      <c r="D28" s="461" t="s">
        <v>648</v>
      </c>
      <c r="F28" s="462">
        <v>76.257499999999993</v>
      </c>
      <c r="K28" s="463"/>
    </row>
    <row r="29" spans="1:76" ht="13.5">
      <c r="A29" s="454" t="s">
        <v>684</v>
      </c>
      <c r="B29" s="455" t="s">
        <v>691</v>
      </c>
      <c r="C29" s="428" t="s">
        <v>692</v>
      </c>
      <c r="D29" s="424"/>
      <c r="E29" s="455" t="s">
        <v>687</v>
      </c>
      <c r="F29" s="456">
        <v>15.2515</v>
      </c>
      <c r="G29" s="456">
        <v>0</v>
      </c>
      <c r="H29" s="456">
        <f>F29*AO29</f>
        <v>0</v>
      </c>
      <c r="I29" s="456">
        <f>F29*AP29</f>
        <v>0</v>
      </c>
      <c r="J29" s="456">
        <f>F29*G29</f>
        <v>0</v>
      </c>
      <c r="K29" s="457" t="s">
        <v>1410</v>
      </c>
      <c r="Z29" s="456">
        <f>IF(AQ29="5",BJ29,0)</f>
        <v>0</v>
      </c>
      <c r="AB29" s="456">
        <f>IF(AQ29="1",BH29,0)</f>
        <v>0</v>
      </c>
      <c r="AC29" s="456">
        <f>IF(AQ29="1",BI29,0)</f>
        <v>0</v>
      </c>
      <c r="AD29" s="456">
        <f>IF(AQ29="7",BH29,0)</f>
        <v>0</v>
      </c>
      <c r="AE29" s="456">
        <f>IF(AQ29="7",BI29,0)</f>
        <v>0</v>
      </c>
      <c r="AF29" s="456">
        <f>IF(AQ29="2",BH29,0)</f>
        <v>0</v>
      </c>
      <c r="AG29" s="456">
        <f>IF(AQ29="2",BI29,0)</f>
        <v>0</v>
      </c>
      <c r="AH29" s="456">
        <f>IF(AQ29="0",BJ29,0)</f>
        <v>0</v>
      </c>
      <c r="AI29" s="438" t="s">
        <v>648</v>
      </c>
      <c r="AJ29" s="456">
        <f>IF(AN29=0,J29,0)</f>
        <v>0</v>
      </c>
      <c r="AK29" s="456">
        <f>IF(AN29=12,J29,0)</f>
        <v>0</v>
      </c>
      <c r="AL29" s="456">
        <f>IF(AN29=21,J29,0)</f>
        <v>0</v>
      </c>
      <c r="AN29" s="456">
        <v>21</v>
      </c>
      <c r="AO29" s="456">
        <f>G29*0</f>
        <v>0</v>
      </c>
      <c r="AP29" s="456">
        <f>G29*(1-0)</f>
        <v>0</v>
      </c>
      <c r="AQ29" s="458" t="s">
        <v>651</v>
      </c>
      <c r="AV29" s="456">
        <f>AW29+AX29</f>
        <v>0</v>
      </c>
      <c r="AW29" s="456">
        <f>F29*AO29</f>
        <v>0</v>
      </c>
      <c r="AX29" s="456">
        <f>F29*AP29</f>
        <v>0</v>
      </c>
      <c r="AY29" s="458" t="s">
        <v>688</v>
      </c>
      <c r="AZ29" s="458" t="s">
        <v>664</v>
      </c>
      <c r="BA29" s="438" t="s">
        <v>656</v>
      </c>
      <c r="BC29" s="456">
        <f>AW29+AX29</f>
        <v>0</v>
      </c>
      <c r="BD29" s="456">
        <f>G29/(100-BE29)*100</f>
        <v>0</v>
      </c>
      <c r="BE29" s="456">
        <v>0</v>
      </c>
      <c r="BF29" s="456">
        <f>29</f>
        <v>29</v>
      </c>
      <c r="BH29" s="456">
        <f>F29*AO29</f>
        <v>0</v>
      </c>
      <c r="BI29" s="456">
        <f>F29*AP29</f>
        <v>0</v>
      </c>
      <c r="BJ29" s="456">
        <f>F29*G29</f>
        <v>0</v>
      </c>
      <c r="BK29" s="456"/>
      <c r="BL29" s="456">
        <v>13</v>
      </c>
      <c r="BW29" s="456">
        <v>21</v>
      </c>
      <c r="BX29" s="459" t="s">
        <v>692</v>
      </c>
    </row>
    <row r="30" spans="1:76" ht="13.5">
      <c r="A30" s="460"/>
      <c r="C30" s="461" t="s">
        <v>1081</v>
      </c>
      <c r="D30" s="461" t="s">
        <v>648</v>
      </c>
      <c r="F30" s="462">
        <v>15.2515</v>
      </c>
      <c r="K30" s="463"/>
    </row>
    <row r="31" spans="1:76" ht="13.5">
      <c r="A31" s="454" t="s">
        <v>690</v>
      </c>
      <c r="B31" s="455" t="s">
        <v>1082</v>
      </c>
      <c r="C31" s="428" t="s">
        <v>1083</v>
      </c>
      <c r="D31" s="424"/>
      <c r="E31" s="455" t="s">
        <v>687</v>
      </c>
      <c r="F31" s="456">
        <v>1.8860399999999999</v>
      </c>
      <c r="G31" s="456">
        <v>0</v>
      </c>
      <c r="H31" s="456">
        <f>F31*AO31</f>
        <v>0</v>
      </c>
      <c r="I31" s="456">
        <f>F31*AP31</f>
        <v>0</v>
      </c>
      <c r="J31" s="456">
        <f>F31*G31</f>
        <v>0</v>
      </c>
      <c r="K31" s="457" t="s">
        <v>1410</v>
      </c>
      <c r="Z31" s="456">
        <f>IF(AQ31="5",BJ31,0)</f>
        <v>0</v>
      </c>
      <c r="AB31" s="456">
        <f>IF(AQ31="1",BH31,0)</f>
        <v>0</v>
      </c>
      <c r="AC31" s="456">
        <f>IF(AQ31="1",BI31,0)</f>
        <v>0</v>
      </c>
      <c r="AD31" s="456">
        <f>IF(AQ31="7",BH31,0)</f>
        <v>0</v>
      </c>
      <c r="AE31" s="456">
        <f>IF(AQ31="7",BI31,0)</f>
        <v>0</v>
      </c>
      <c r="AF31" s="456">
        <f>IF(AQ31="2",BH31,0)</f>
        <v>0</v>
      </c>
      <c r="AG31" s="456">
        <f>IF(AQ31="2",BI31,0)</f>
        <v>0</v>
      </c>
      <c r="AH31" s="456">
        <f>IF(AQ31="0",BJ31,0)</f>
        <v>0</v>
      </c>
      <c r="AI31" s="438" t="s">
        <v>648</v>
      </c>
      <c r="AJ31" s="456">
        <f>IF(AN31=0,J31,0)</f>
        <v>0</v>
      </c>
      <c r="AK31" s="456">
        <f>IF(AN31=12,J31,0)</f>
        <v>0</v>
      </c>
      <c r="AL31" s="456">
        <f>IF(AN31=21,J31,0)</f>
        <v>0</v>
      </c>
      <c r="AN31" s="456">
        <v>21</v>
      </c>
      <c r="AO31" s="456">
        <f>G31*0</f>
        <v>0</v>
      </c>
      <c r="AP31" s="456">
        <f>G31*(1-0)</f>
        <v>0</v>
      </c>
      <c r="AQ31" s="458" t="s">
        <v>651</v>
      </c>
      <c r="AV31" s="456">
        <f>AW31+AX31</f>
        <v>0</v>
      </c>
      <c r="AW31" s="456">
        <f>F31*AO31</f>
        <v>0</v>
      </c>
      <c r="AX31" s="456">
        <f>F31*AP31</f>
        <v>0</v>
      </c>
      <c r="AY31" s="458" t="s">
        <v>688</v>
      </c>
      <c r="AZ31" s="458" t="s">
        <v>664</v>
      </c>
      <c r="BA31" s="438" t="s">
        <v>656</v>
      </c>
      <c r="BC31" s="456">
        <f>AW31+AX31</f>
        <v>0</v>
      </c>
      <c r="BD31" s="456">
        <f>G31/(100-BE31)*100</f>
        <v>0</v>
      </c>
      <c r="BE31" s="456">
        <v>0</v>
      </c>
      <c r="BF31" s="456">
        <f>31</f>
        <v>31</v>
      </c>
      <c r="BH31" s="456">
        <f>F31*AO31</f>
        <v>0</v>
      </c>
      <c r="BI31" s="456">
        <f>F31*AP31</f>
        <v>0</v>
      </c>
      <c r="BJ31" s="456">
        <f>F31*G31</f>
        <v>0</v>
      </c>
      <c r="BK31" s="456"/>
      <c r="BL31" s="456">
        <v>13</v>
      </c>
      <c r="BW31" s="456">
        <v>21</v>
      </c>
      <c r="BX31" s="459" t="s">
        <v>1083</v>
      </c>
    </row>
    <row r="32" spans="1:76" ht="13.5">
      <c r="A32" s="460"/>
      <c r="C32" s="461" t="s">
        <v>1084</v>
      </c>
      <c r="D32" s="461" t="s">
        <v>648</v>
      </c>
      <c r="F32" s="462">
        <v>1.8860399999999999</v>
      </c>
      <c r="K32" s="463"/>
    </row>
    <row r="33" spans="1:76" ht="13.5">
      <c r="A33" s="454" t="s">
        <v>694</v>
      </c>
      <c r="B33" s="455" t="s">
        <v>695</v>
      </c>
      <c r="C33" s="428" t="s">
        <v>696</v>
      </c>
      <c r="D33" s="424"/>
      <c r="E33" s="455" t="s">
        <v>687</v>
      </c>
      <c r="F33" s="456">
        <v>123.714</v>
      </c>
      <c r="G33" s="456">
        <v>0</v>
      </c>
      <c r="H33" s="456">
        <f>F33*AO33</f>
        <v>0</v>
      </c>
      <c r="I33" s="456">
        <f>F33*AP33</f>
        <v>0</v>
      </c>
      <c r="J33" s="456">
        <f>F33*G33</f>
        <v>0</v>
      </c>
      <c r="K33" s="457" t="s">
        <v>1410</v>
      </c>
      <c r="Z33" s="456">
        <f>IF(AQ33="5",BJ33,0)</f>
        <v>0</v>
      </c>
      <c r="AB33" s="456">
        <f>IF(AQ33="1",BH33,0)</f>
        <v>0</v>
      </c>
      <c r="AC33" s="456">
        <f>IF(AQ33="1",BI33,0)</f>
        <v>0</v>
      </c>
      <c r="AD33" s="456">
        <f>IF(AQ33="7",BH33,0)</f>
        <v>0</v>
      </c>
      <c r="AE33" s="456">
        <f>IF(AQ33="7",BI33,0)</f>
        <v>0</v>
      </c>
      <c r="AF33" s="456">
        <f>IF(AQ33="2",BH33,0)</f>
        <v>0</v>
      </c>
      <c r="AG33" s="456">
        <f>IF(AQ33="2",BI33,0)</f>
        <v>0</v>
      </c>
      <c r="AH33" s="456">
        <f>IF(AQ33="0",BJ33,0)</f>
        <v>0</v>
      </c>
      <c r="AI33" s="438" t="s">
        <v>648</v>
      </c>
      <c r="AJ33" s="456">
        <f>IF(AN33=0,J33,0)</f>
        <v>0</v>
      </c>
      <c r="AK33" s="456">
        <f>IF(AN33=12,J33,0)</f>
        <v>0</v>
      </c>
      <c r="AL33" s="456">
        <f>IF(AN33=21,J33,0)</f>
        <v>0</v>
      </c>
      <c r="AN33" s="456">
        <v>21</v>
      </c>
      <c r="AO33" s="456">
        <f>G33*0.039986873</f>
        <v>0</v>
      </c>
      <c r="AP33" s="456">
        <f>G33*(1-0.039986873)</f>
        <v>0</v>
      </c>
      <c r="AQ33" s="458" t="s">
        <v>651</v>
      </c>
      <c r="AV33" s="456">
        <f>AW33+AX33</f>
        <v>0</v>
      </c>
      <c r="AW33" s="456">
        <f>F33*AO33</f>
        <v>0</v>
      </c>
      <c r="AX33" s="456">
        <f>F33*AP33</f>
        <v>0</v>
      </c>
      <c r="AY33" s="458" t="s">
        <v>688</v>
      </c>
      <c r="AZ33" s="458" t="s">
        <v>664</v>
      </c>
      <c r="BA33" s="438" t="s">
        <v>656</v>
      </c>
      <c r="BC33" s="456">
        <f>AW33+AX33</f>
        <v>0</v>
      </c>
      <c r="BD33" s="456">
        <f>G33/(100-BE33)*100</f>
        <v>0</v>
      </c>
      <c r="BE33" s="456">
        <v>0</v>
      </c>
      <c r="BF33" s="456">
        <f>33</f>
        <v>33</v>
      </c>
      <c r="BH33" s="456">
        <f>F33*AO33</f>
        <v>0</v>
      </c>
      <c r="BI33" s="456">
        <f>F33*AP33</f>
        <v>0</v>
      </c>
      <c r="BJ33" s="456">
        <f>F33*G33</f>
        <v>0</v>
      </c>
      <c r="BK33" s="456"/>
      <c r="BL33" s="456">
        <v>13</v>
      </c>
      <c r="BW33" s="456">
        <v>21</v>
      </c>
      <c r="BX33" s="459" t="s">
        <v>696</v>
      </c>
    </row>
    <row r="34" spans="1:76" ht="13.5">
      <c r="A34" s="460"/>
      <c r="C34" s="461" t="s">
        <v>1412</v>
      </c>
      <c r="D34" s="461" t="s">
        <v>648</v>
      </c>
      <c r="F34" s="462">
        <v>123.714</v>
      </c>
      <c r="K34" s="463"/>
    </row>
    <row r="35" spans="1:76" ht="13.5">
      <c r="A35" s="454" t="s">
        <v>658</v>
      </c>
      <c r="B35" s="455" t="s">
        <v>698</v>
      </c>
      <c r="C35" s="428" t="s">
        <v>699</v>
      </c>
      <c r="D35" s="424"/>
      <c r="E35" s="455" t="s">
        <v>687</v>
      </c>
      <c r="F35" s="456">
        <v>24.742799999999999</v>
      </c>
      <c r="G35" s="456">
        <v>0</v>
      </c>
      <c r="H35" s="456">
        <f>F35*AO35</f>
        <v>0</v>
      </c>
      <c r="I35" s="456">
        <f>F35*AP35</f>
        <v>0</v>
      </c>
      <c r="J35" s="456">
        <f>F35*G35</f>
        <v>0</v>
      </c>
      <c r="K35" s="457" t="s">
        <v>1410</v>
      </c>
      <c r="Z35" s="456">
        <f>IF(AQ35="5",BJ35,0)</f>
        <v>0</v>
      </c>
      <c r="AB35" s="456">
        <f>IF(AQ35="1",BH35,0)</f>
        <v>0</v>
      </c>
      <c r="AC35" s="456">
        <f>IF(AQ35="1",BI35,0)</f>
        <v>0</v>
      </c>
      <c r="AD35" s="456">
        <f>IF(AQ35="7",BH35,0)</f>
        <v>0</v>
      </c>
      <c r="AE35" s="456">
        <f>IF(AQ35="7",BI35,0)</f>
        <v>0</v>
      </c>
      <c r="AF35" s="456">
        <f>IF(AQ35="2",BH35,0)</f>
        <v>0</v>
      </c>
      <c r="AG35" s="456">
        <f>IF(AQ35="2",BI35,0)</f>
        <v>0</v>
      </c>
      <c r="AH35" s="456">
        <f>IF(AQ35="0",BJ35,0)</f>
        <v>0</v>
      </c>
      <c r="AI35" s="438" t="s">
        <v>648</v>
      </c>
      <c r="AJ35" s="456">
        <f>IF(AN35=0,J35,0)</f>
        <v>0</v>
      </c>
      <c r="AK35" s="456">
        <f>IF(AN35=12,J35,0)</f>
        <v>0</v>
      </c>
      <c r="AL35" s="456">
        <f>IF(AN35=21,J35,0)</f>
        <v>0</v>
      </c>
      <c r="AN35" s="456">
        <v>21</v>
      </c>
      <c r="AO35" s="456">
        <f>G35*0</f>
        <v>0</v>
      </c>
      <c r="AP35" s="456">
        <f>G35*(1-0)</f>
        <v>0</v>
      </c>
      <c r="AQ35" s="458" t="s">
        <v>651</v>
      </c>
      <c r="AV35" s="456">
        <f>AW35+AX35</f>
        <v>0</v>
      </c>
      <c r="AW35" s="456">
        <f>F35*AO35</f>
        <v>0</v>
      </c>
      <c r="AX35" s="456">
        <f>F35*AP35</f>
        <v>0</v>
      </c>
      <c r="AY35" s="458" t="s">
        <v>688</v>
      </c>
      <c r="AZ35" s="458" t="s">
        <v>664</v>
      </c>
      <c r="BA35" s="438" t="s">
        <v>656</v>
      </c>
      <c r="BC35" s="456">
        <f>AW35+AX35</f>
        <v>0</v>
      </c>
      <c r="BD35" s="456">
        <f>G35/(100-BE35)*100</f>
        <v>0</v>
      </c>
      <c r="BE35" s="456">
        <v>0</v>
      </c>
      <c r="BF35" s="456">
        <f>35</f>
        <v>35</v>
      </c>
      <c r="BH35" s="456">
        <f>F35*AO35</f>
        <v>0</v>
      </c>
      <c r="BI35" s="456">
        <f>F35*AP35</f>
        <v>0</v>
      </c>
      <c r="BJ35" s="456">
        <f>F35*G35</f>
        <v>0</v>
      </c>
      <c r="BK35" s="456"/>
      <c r="BL35" s="456">
        <v>13</v>
      </c>
      <c r="BW35" s="456">
        <v>21</v>
      </c>
      <c r="BX35" s="459" t="s">
        <v>699</v>
      </c>
    </row>
    <row r="36" spans="1:76" ht="13.5">
      <c r="A36" s="460"/>
      <c r="C36" s="461" t="s">
        <v>1413</v>
      </c>
      <c r="D36" s="461" t="s">
        <v>648</v>
      </c>
      <c r="F36" s="462">
        <v>24.742799999999999</v>
      </c>
      <c r="K36" s="463"/>
    </row>
    <row r="37" spans="1:76" ht="13.5">
      <c r="A37" s="454" t="s">
        <v>700</v>
      </c>
      <c r="B37" s="455" t="s">
        <v>701</v>
      </c>
      <c r="C37" s="428" t="s">
        <v>702</v>
      </c>
      <c r="D37" s="424"/>
      <c r="E37" s="455" t="s">
        <v>7</v>
      </c>
      <c r="F37" s="456">
        <v>137.9</v>
      </c>
      <c r="G37" s="456">
        <v>0</v>
      </c>
      <c r="H37" s="456">
        <f>F37*AO37</f>
        <v>0</v>
      </c>
      <c r="I37" s="456">
        <f>F37*AP37</f>
        <v>0</v>
      </c>
      <c r="J37" s="456">
        <f>F37*G37</f>
        <v>0</v>
      </c>
      <c r="K37" s="457" t="s">
        <v>1410</v>
      </c>
      <c r="Z37" s="456">
        <f>IF(AQ37="5",BJ37,0)</f>
        <v>0</v>
      </c>
      <c r="AB37" s="456">
        <f>IF(AQ37="1",BH37,0)</f>
        <v>0</v>
      </c>
      <c r="AC37" s="456">
        <f>IF(AQ37="1",BI37,0)</f>
        <v>0</v>
      </c>
      <c r="AD37" s="456">
        <f>IF(AQ37="7",BH37,0)</f>
        <v>0</v>
      </c>
      <c r="AE37" s="456">
        <f>IF(AQ37="7",BI37,0)</f>
        <v>0</v>
      </c>
      <c r="AF37" s="456">
        <f>IF(AQ37="2",BH37,0)</f>
        <v>0</v>
      </c>
      <c r="AG37" s="456">
        <f>IF(AQ37="2",BI37,0)</f>
        <v>0</v>
      </c>
      <c r="AH37" s="456">
        <f>IF(AQ37="0",BJ37,0)</f>
        <v>0</v>
      </c>
      <c r="AI37" s="438" t="s">
        <v>648</v>
      </c>
      <c r="AJ37" s="456">
        <f>IF(AN37=0,J37,0)</f>
        <v>0</v>
      </c>
      <c r="AK37" s="456">
        <f>IF(AN37=12,J37,0)</f>
        <v>0</v>
      </c>
      <c r="AL37" s="456">
        <f>IF(AN37=21,J37,0)</f>
        <v>0</v>
      </c>
      <c r="AN37" s="456">
        <v>21</v>
      </c>
      <c r="AO37" s="456">
        <f>G37*0</f>
        <v>0</v>
      </c>
      <c r="AP37" s="456">
        <f>G37*(1-0)</f>
        <v>0</v>
      </c>
      <c r="AQ37" s="458" t="s">
        <v>651</v>
      </c>
      <c r="AV37" s="456">
        <f>AW37+AX37</f>
        <v>0</v>
      </c>
      <c r="AW37" s="456">
        <f>F37*AO37</f>
        <v>0</v>
      </c>
      <c r="AX37" s="456">
        <f>F37*AP37</f>
        <v>0</v>
      </c>
      <c r="AY37" s="458" t="s">
        <v>688</v>
      </c>
      <c r="AZ37" s="458" t="s">
        <v>664</v>
      </c>
      <c r="BA37" s="438" t="s">
        <v>656</v>
      </c>
      <c r="BC37" s="456">
        <f>AW37+AX37</f>
        <v>0</v>
      </c>
      <c r="BD37" s="456">
        <f>G37/(100-BE37)*100</f>
        <v>0</v>
      </c>
      <c r="BE37" s="456">
        <v>0</v>
      </c>
      <c r="BF37" s="456">
        <f>37</f>
        <v>37</v>
      </c>
      <c r="BH37" s="456">
        <f>F37*AO37</f>
        <v>0</v>
      </c>
      <c r="BI37" s="456">
        <f>F37*AP37</f>
        <v>0</v>
      </c>
      <c r="BJ37" s="456">
        <f>F37*G37</f>
        <v>0</v>
      </c>
      <c r="BK37" s="456"/>
      <c r="BL37" s="456">
        <v>13</v>
      </c>
      <c r="BW37" s="456">
        <v>21</v>
      </c>
      <c r="BX37" s="459" t="s">
        <v>702</v>
      </c>
    </row>
    <row r="38" spans="1:76" ht="13.5">
      <c r="A38" s="460"/>
      <c r="C38" s="461" t="s">
        <v>1085</v>
      </c>
      <c r="D38" s="461" t="s">
        <v>648</v>
      </c>
      <c r="F38" s="462">
        <v>137.9</v>
      </c>
      <c r="K38" s="463"/>
    </row>
    <row r="39" spans="1:76" ht="13.5">
      <c r="A39" s="454" t="s">
        <v>682</v>
      </c>
      <c r="B39" s="455" t="s">
        <v>1414</v>
      </c>
      <c r="C39" s="428" t="s">
        <v>1415</v>
      </c>
      <c r="D39" s="424"/>
      <c r="E39" s="455" t="s">
        <v>687</v>
      </c>
      <c r="F39" s="456">
        <v>87.36</v>
      </c>
      <c r="G39" s="456">
        <v>0</v>
      </c>
      <c r="H39" s="456">
        <f>F39*AO39</f>
        <v>0</v>
      </c>
      <c r="I39" s="456">
        <f>F39*AP39</f>
        <v>0</v>
      </c>
      <c r="J39" s="456">
        <f>F39*G39</f>
        <v>0</v>
      </c>
      <c r="K39" s="457" t="s">
        <v>1410</v>
      </c>
      <c r="Z39" s="456">
        <f>IF(AQ39="5",BJ39,0)</f>
        <v>0</v>
      </c>
      <c r="AB39" s="456">
        <f>IF(AQ39="1",BH39,0)</f>
        <v>0</v>
      </c>
      <c r="AC39" s="456">
        <f>IF(AQ39="1",BI39,0)</f>
        <v>0</v>
      </c>
      <c r="AD39" s="456">
        <f>IF(AQ39="7",BH39,0)</f>
        <v>0</v>
      </c>
      <c r="AE39" s="456">
        <f>IF(AQ39="7",BI39,0)</f>
        <v>0</v>
      </c>
      <c r="AF39" s="456">
        <f>IF(AQ39="2",BH39,0)</f>
        <v>0</v>
      </c>
      <c r="AG39" s="456">
        <f>IF(AQ39="2",BI39,0)</f>
        <v>0</v>
      </c>
      <c r="AH39" s="456">
        <f>IF(AQ39="0",BJ39,0)</f>
        <v>0</v>
      </c>
      <c r="AI39" s="438" t="s">
        <v>648</v>
      </c>
      <c r="AJ39" s="456">
        <f>IF(AN39=0,J39,0)</f>
        <v>0</v>
      </c>
      <c r="AK39" s="456">
        <f>IF(AN39=12,J39,0)</f>
        <v>0</v>
      </c>
      <c r="AL39" s="456">
        <f>IF(AN39=21,J39,0)</f>
        <v>0</v>
      </c>
      <c r="AN39" s="456">
        <v>21</v>
      </c>
      <c r="AO39" s="456">
        <f>G39*0</f>
        <v>0</v>
      </c>
      <c r="AP39" s="456">
        <f>G39*(1-0)</f>
        <v>0</v>
      </c>
      <c r="AQ39" s="458" t="s">
        <v>651</v>
      </c>
      <c r="AV39" s="456">
        <f>AW39+AX39</f>
        <v>0</v>
      </c>
      <c r="AW39" s="456">
        <f>F39*AO39</f>
        <v>0</v>
      </c>
      <c r="AX39" s="456">
        <f>F39*AP39</f>
        <v>0</v>
      </c>
      <c r="AY39" s="458" t="s">
        <v>688</v>
      </c>
      <c r="AZ39" s="458" t="s">
        <v>664</v>
      </c>
      <c r="BA39" s="438" t="s">
        <v>656</v>
      </c>
      <c r="BC39" s="456">
        <f>AW39+AX39</f>
        <v>0</v>
      </c>
      <c r="BD39" s="456">
        <f>G39/(100-BE39)*100</f>
        <v>0</v>
      </c>
      <c r="BE39" s="456">
        <v>0</v>
      </c>
      <c r="BF39" s="456">
        <f>39</f>
        <v>39</v>
      </c>
      <c r="BH39" s="456">
        <f>F39*AO39</f>
        <v>0</v>
      </c>
      <c r="BI39" s="456">
        <f>F39*AP39</f>
        <v>0</v>
      </c>
      <c r="BJ39" s="456">
        <f>F39*G39</f>
        <v>0</v>
      </c>
      <c r="BK39" s="456"/>
      <c r="BL39" s="456">
        <v>13</v>
      </c>
      <c r="BW39" s="456">
        <v>21</v>
      </c>
      <c r="BX39" s="459" t="s">
        <v>1415</v>
      </c>
    </row>
    <row r="40" spans="1:76" ht="13.5">
      <c r="A40" s="460"/>
      <c r="C40" s="461" t="s">
        <v>1416</v>
      </c>
      <c r="D40" s="461" t="s">
        <v>648</v>
      </c>
      <c r="F40" s="462">
        <v>80.959999999999994</v>
      </c>
      <c r="K40" s="463"/>
    </row>
    <row r="41" spans="1:76" ht="13.5">
      <c r="A41" s="460"/>
      <c r="C41" s="461" t="s">
        <v>1417</v>
      </c>
      <c r="D41" s="461" t="s">
        <v>648</v>
      </c>
      <c r="F41" s="462">
        <v>6.4</v>
      </c>
      <c r="K41" s="463"/>
    </row>
    <row r="42" spans="1:76" ht="13.5">
      <c r="A42" s="460"/>
      <c r="C42" s="461" t="s">
        <v>1418</v>
      </c>
      <c r="D42" s="461" t="s">
        <v>648</v>
      </c>
      <c r="F42" s="462">
        <v>0</v>
      </c>
      <c r="K42" s="463"/>
    </row>
    <row r="43" spans="1:76" ht="13.5">
      <c r="A43" s="448" t="s">
        <v>648</v>
      </c>
      <c r="B43" s="449" t="s">
        <v>704</v>
      </c>
      <c r="C43" s="450" t="s">
        <v>705</v>
      </c>
      <c r="D43" s="451"/>
      <c r="E43" s="452" t="s">
        <v>607</v>
      </c>
      <c r="F43" s="452" t="s">
        <v>607</v>
      </c>
      <c r="G43" s="452" t="s">
        <v>607</v>
      </c>
      <c r="H43" s="416">
        <f>SUM(H44:H56)</f>
        <v>0</v>
      </c>
      <c r="I43" s="416">
        <f>SUM(I44:I56)</f>
        <v>0</v>
      </c>
      <c r="J43" s="416">
        <f>SUM(J44:J56)</f>
        <v>0</v>
      </c>
      <c r="K43" s="453" t="s">
        <v>648</v>
      </c>
      <c r="AI43" s="438" t="s">
        <v>648</v>
      </c>
      <c r="AS43" s="416">
        <f>SUM(AJ44:AJ56)</f>
        <v>0</v>
      </c>
      <c r="AT43" s="416">
        <f>SUM(AK44:AK56)</f>
        <v>0</v>
      </c>
      <c r="AU43" s="416">
        <f>SUM(AL44:AL56)</f>
        <v>0</v>
      </c>
    </row>
    <row r="44" spans="1:76" ht="13.5">
      <c r="A44" s="454" t="s">
        <v>709</v>
      </c>
      <c r="B44" s="455" t="s">
        <v>1086</v>
      </c>
      <c r="C44" s="428" t="s">
        <v>1087</v>
      </c>
      <c r="D44" s="424"/>
      <c r="E44" s="455" t="s">
        <v>14</v>
      </c>
      <c r="F44" s="456">
        <v>2</v>
      </c>
      <c r="G44" s="456">
        <v>0</v>
      </c>
      <c r="H44" s="456">
        <f>F44*AO44</f>
        <v>0</v>
      </c>
      <c r="I44" s="456">
        <f>F44*AP44</f>
        <v>0</v>
      </c>
      <c r="J44" s="456">
        <f>F44*G44</f>
        <v>0</v>
      </c>
      <c r="K44" s="457" t="s">
        <v>1410</v>
      </c>
      <c r="Z44" s="456">
        <f>IF(AQ44="5",BJ44,0)</f>
        <v>0</v>
      </c>
      <c r="AB44" s="456">
        <f>IF(AQ44="1",BH44,0)</f>
        <v>0</v>
      </c>
      <c r="AC44" s="456">
        <f>IF(AQ44="1",BI44,0)</f>
        <v>0</v>
      </c>
      <c r="AD44" s="456">
        <f>IF(AQ44="7",BH44,0)</f>
        <v>0</v>
      </c>
      <c r="AE44" s="456">
        <f>IF(AQ44="7",BI44,0)</f>
        <v>0</v>
      </c>
      <c r="AF44" s="456">
        <f>IF(AQ44="2",BH44,0)</f>
        <v>0</v>
      </c>
      <c r="AG44" s="456">
        <f>IF(AQ44="2",BI44,0)</f>
        <v>0</v>
      </c>
      <c r="AH44" s="456">
        <f>IF(AQ44="0",BJ44,0)</f>
        <v>0</v>
      </c>
      <c r="AI44" s="438" t="s">
        <v>648</v>
      </c>
      <c r="AJ44" s="456">
        <f>IF(AN44=0,J44,0)</f>
        <v>0</v>
      </c>
      <c r="AK44" s="456">
        <f>IF(AN44=12,J44,0)</f>
        <v>0</v>
      </c>
      <c r="AL44" s="456">
        <f>IF(AN44=21,J44,0)</f>
        <v>0</v>
      </c>
      <c r="AN44" s="456">
        <v>21</v>
      </c>
      <c r="AO44" s="456">
        <f>G44*0</f>
        <v>0</v>
      </c>
      <c r="AP44" s="456">
        <f>G44*(1-0)</f>
        <v>0</v>
      </c>
      <c r="AQ44" s="458" t="s">
        <v>651</v>
      </c>
      <c r="AV44" s="456">
        <f>AW44+AX44</f>
        <v>0</v>
      </c>
      <c r="AW44" s="456">
        <f>F44*AO44</f>
        <v>0</v>
      </c>
      <c r="AX44" s="456">
        <f>F44*AP44</f>
        <v>0</v>
      </c>
      <c r="AY44" s="458" t="s">
        <v>708</v>
      </c>
      <c r="AZ44" s="458" t="s">
        <v>664</v>
      </c>
      <c r="BA44" s="438" t="s">
        <v>656</v>
      </c>
      <c r="BC44" s="456">
        <f>AW44+AX44</f>
        <v>0</v>
      </c>
      <c r="BD44" s="456">
        <f>G44/(100-BE44)*100</f>
        <v>0</v>
      </c>
      <c r="BE44" s="456">
        <v>0</v>
      </c>
      <c r="BF44" s="456">
        <f>44</f>
        <v>44</v>
      </c>
      <c r="BH44" s="456">
        <f>F44*AO44</f>
        <v>0</v>
      </c>
      <c r="BI44" s="456">
        <f>F44*AP44</f>
        <v>0</v>
      </c>
      <c r="BJ44" s="456">
        <f>F44*G44</f>
        <v>0</v>
      </c>
      <c r="BK44" s="456"/>
      <c r="BL44" s="456">
        <v>15</v>
      </c>
      <c r="BW44" s="456">
        <v>21</v>
      </c>
      <c r="BX44" s="459" t="s">
        <v>1087</v>
      </c>
    </row>
    <row r="45" spans="1:76" ht="13.5">
      <c r="A45" s="460"/>
      <c r="C45" s="461" t="s">
        <v>660</v>
      </c>
      <c r="D45" s="461" t="s">
        <v>648</v>
      </c>
      <c r="F45" s="462">
        <v>2</v>
      </c>
      <c r="K45" s="463"/>
    </row>
    <row r="46" spans="1:76" ht="13.5">
      <c r="A46" s="454" t="s">
        <v>704</v>
      </c>
      <c r="B46" s="455" t="s">
        <v>1088</v>
      </c>
      <c r="C46" s="428" t="s">
        <v>1089</v>
      </c>
      <c r="D46" s="424"/>
      <c r="E46" s="455" t="s">
        <v>14</v>
      </c>
      <c r="F46" s="456">
        <v>2</v>
      </c>
      <c r="G46" s="456">
        <v>0</v>
      </c>
      <c r="H46" s="456">
        <f>F46*AO46</f>
        <v>0</v>
      </c>
      <c r="I46" s="456">
        <f>F46*AP46</f>
        <v>0</v>
      </c>
      <c r="J46" s="456">
        <f>F46*G46</f>
        <v>0</v>
      </c>
      <c r="K46" s="457" t="s">
        <v>1410</v>
      </c>
      <c r="Z46" s="456">
        <f>IF(AQ46="5",BJ46,0)</f>
        <v>0</v>
      </c>
      <c r="AB46" s="456">
        <f>IF(AQ46="1",BH46,0)</f>
        <v>0</v>
      </c>
      <c r="AC46" s="456">
        <f>IF(AQ46="1",BI46,0)</f>
        <v>0</v>
      </c>
      <c r="AD46" s="456">
        <f>IF(AQ46="7",BH46,0)</f>
        <v>0</v>
      </c>
      <c r="AE46" s="456">
        <f>IF(AQ46="7",BI46,0)</f>
        <v>0</v>
      </c>
      <c r="AF46" s="456">
        <f>IF(AQ46="2",BH46,0)</f>
        <v>0</v>
      </c>
      <c r="AG46" s="456">
        <f>IF(AQ46="2",BI46,0)</f>
        <v>0</v>
      </c>
      <c r="AH46" s="456">
        <f>IF(AQ46="0",BJ46,0)</f>
        <v>0</v>
      </c>
      <c r="AI46" s="438" t="s">
        <v>648</v>
      </c>
      <c r="AJ46" s="456">
        <f>IF(AN46=0,J46,0)</f>
        <v>0</v>
      </c>
      <c r="AK46" s="456">
        <f>IF(AN46=12,J46,0)</f>
        <v>0</v>
      </c>
      <c r="AL46" s="456">
        <f>IF(AN46=21,J46,0)</f>
        <v>0</v>
      </c>
      <c r="AN46" s="456">
        <v>21</v>
      </c>
      <c r="AO46" s="456">
        <f>G46*0</f>
        <v>0</v>
      </c>
      <c r="AP46" s="456">
        <f>G46*(1-0)</f>
        <v>0</v>
      </c>
      <c r="AQ46" s="458" t="s">
        <v>651</v>
      </c>
      <c r="AV46" s="456">
        <f>AW46+AX46</f>
        <v>0</v>
      </c>
      <c r="AW46" s="456">
        <f>F46*AO46</f>
        <v>0</v>
      </c>
      <c r="AX46" s="456">
        <f>F46*AP46</f>
        <v>0</v>
      </c>
      <c r="AY46" s="458" t="s">
        <v>708</v>
      </c>
      <c r="AZ46" s="458" t="s">
        <v>664</v>
      </c>
      <c r="BA46" s="438" t="s">
        <v>656</v>
      </c>
      <c r="BC46" s="456">
        <f>AW46+AX46</f>
        <v>0</v>
      </c>
      <c r="BD46" s="456">
        <f>G46/(100-BE46)*100</f>
        <v>0</v>
      </c>
      <c r="BE46" s="456">
        <v>0</v>
      </c>
      <c r="BF46" s="456">
        <f>46</f>
        <v>46</v>
      </c>
      <c r="BH46" s="456">
        <f>F46*AO46</f>
        <v>0</v>
      </c>
      <c r="BI46" s="456">
        <f>F46*AP46</f>
        <v>0</v>
      </c>
      <c r="BJ46" s="456">
        <f>F46*G46</f>
        <v>0</v>
      </c>
      <c r="BK46" s="456"/>
      <c r="BL46" s="456">
        <v>15</v>
      </c>
      <c r="BW46" s="456">
        <v>21</v>
      </c>
      <c r="BX46" s="459" t="s">
        <v>1089</v>
      </c>
    </row>
    <row r="47" spans="1:76" ht="13.5">
      <c r="A47" s="460"/>
      <c r="C47" s="461" t="s">
        <v>660</v>
      </c>
      <c r="D47" s="461" t="s">
        <v>648</v>
      </c>
      <c r="F47" s="462">
        <v>2</v>
      </c>
      <c r="K47" s="463"/>
    </row>
    <row r="48" spans="1:76" ht="13.5">
      <c r="A48" s="454" t="s">
        <v>715</v>
      </c>
      <c r="B48" s="455" t="s">
        <v>1090</v>
      </c>
      <c r="C48" s="428" t="s">
        <v>1091</v>
      </c>
      <c r="D48" s="424"/>
      <c r="E48" s="455" t="s">
        <v>714</v>
      </c>
      <c r="F48" s="456">
        <v>30</v>
      </c>
      <c r="G48" s="456">
        <v>0</v>
      </c>
      <c r="H48" s="456">
        <f>F48*AO48</f>
        <v>0</v>
      </c>
      <c r="I48" s="456">
        <f>F48*AP48</f>
        <v>0</v>
      </c>
      <c r="J48" s="456">
        <f>F48*G48</f>
        <v>0</v>
      </c>
      <c r="K48" s="457" t="s">
        <v>1410</v>
      </c>
      <c r="Z48" s="456">
        <f>IF(AQ48="5",BJ48,0)</f>
        <v>0</v>
      </c>
      <c r="AB48" s="456">
        <f>IF(AQ48="1",BH48,0)</f>
        <v>0</v>
      </c>
      <c r="AC48" s="456">
        <f>IF(AQ48="1",BI48,0)</f>
        <v>0</v>
      </c>
      <c r="AD48" s="456">
        <f>IF(AQ48="7",BH48,0)</f>
        <v>0</v>
      </c>
      <c r="AE48" s="456">
        <f>IF(AQ48="7",BI48,0)</f>
        <v>0</v>
      </c>
      <c r="AF48" s="456">
        <f>IF(AQ48="2",BH48,0)</f>
        <v>0</v>
      </c>
      <c r="AG48" s="456">
        <f>IF(AQ48="2",BI48,0)</f>
        <v>0</v>
      </c>
      <c r="AH48" s="456">
        <f>IF(AQ48="0",BJ48,0)</f>
        <v>0</v>
      </c>
      <c r="AI48" s="438" t="s">
        <v>648</v>
      </c>
      <c r="AJ48" s="456">
        <f>IF(AN48=0,J48,0)</f>
        <v>0</v>
      </c>
      <c r="AK48" s="456">
        <f>IF(AN48=12,J48,0)</f>
        <v>0</v>
      </c>
      <c r="AL48" s="456">
        <f>IF(AN48=21,J48,0)</f>
        <v>0</v>
      </c>
      <c r="AN48" s="456">
        <v>21</v>
      </c>
      <c r="AO48" s="456">
        <f>G48*0</f>
        <v>0</v>
      </c>
      <c r="AP48" s="456">
        <f>G48*(1-0)</f>
        <v>0</v>
      </c>
      <c r="AQ48" s="458" t="s">
        <v>651</v>
      </c>
      <c r="AV48" s="456">
        <f>AW48+AX48</f>
        <v>0</v>
      </c>
      <c r="AW48" s="456">
        <f>F48*AO48</f>
        <v>0</v>
      </c>
      <c r="AX48" s="456">
        <f>F48*AP48</f>
        <v>0</v>
      </c>
      <c r="AY48" s="458" t="s">
        <v>708</v>
      </c>
      <c r="AZ48" s="458" t="s">
        <v>664</v>
      </c>
      <c r="BA48" s="438" t="s">
        <v>656</v>
      </c>
      <c r="BC48" s="456">
        <f>AW48+AX48</f>
        <v>0</v>
      </c>
      <c r="BD48" s="456">
        <f>G48/(100-BE48)*100</f>
        <v>0</v>
      </c>
      <c r="BE48" s="456">
        <v>0</v>
      </c>
      <c r="BF48" s="456">
        <f>48</f>
        <v>48</v>
      </c>
      <c r="BH48" s="456">
        <f>F48*AO48</f>
        <v>0</v>
      </c>
      <c r="BI48" s="456">
        <f>F48*AP48</f>
        <v>0</v>
      </c>
      <c r="BJ48" s="456">
        <f>F48*G48</f>
        <v>0</v>
      </c>
      <c r="BK48" s="456"/>
      <c r="BL48" s="456">
        <v>15</v>
      </c>
      <c r="BW48" s="456">
        <v>21</v>
      </c>
      <c r="BX48" s="459" t="s">
        <v>1091</v>
      </c>
    </row>
    <row r="49" spans="1:76" ht="13.5">
      <c r="A49" s="460"/>
      <c r="C49" s="461" t="s">
        <v>771</v>
      </c>
      <c r="D49" s="461" t="s">
        <v>648</v>
      </c>
      <c r="F49" s="462">
        <v>30</v>
      </c>
      <c r="K49" s="463"/>
    </row>
    <row r="50" spans="1:76" ht="13.5">
      <c r="A50" s="454" t="s">
        <v>719</v>
      </c>
      <c r="B50" s="455" t="s">
        <v>716</v>
      </c>
      <c r="C50" s="428" t="s">
        <v>717</v>
      </c>
      <c r="D50" s="424"/>
      <c r="E50" s="455" t="s">
        <v>40</v>
      </c>
      <c r="F50" s="456">
        <v>396.54599999999999</v>
      </c>
      <c r="G50" s="456">
        <v>0</v>
      </c>
      <c r="H50" s="456">
        <f>F50*AO50</f>
        <v>0</v>
      </c>
      <c r="I50" s="456">
        <f>F50*AP50</f>
        <v>0</v>
      </c>
      <c r="J50" s="456">
        <f>F50*G50</f>
        <v>0</v>
      </c>
      <c r="K50" s="457" t="s">
        <v>1410</v>
      </c>
      <c r="Z50" s="456">
        <f>IF(AQ50="5",BJ50,0)</f>
        <v>0</v>
      </c>
      <c r="AB50" s="456">
        <f>IF(AQ50="1",BH50,0)</f>
        <v>0</v>
      </c>
      <c r="AC50" s="456">
        <f>IF(AQ50="1",BI50,0)</f>
        <v>0</v>
      </c>
      <c r="AD50" s="456">
        <f>IF(AQ50="7",BH50,0)</f>
        <v>0</v>
      </c>
      <c r="AE50" s="456">
        <f>IF(AQ50="7",BI50,0)</f>
        <v>0</v>
      </c>
      <c r="AF50" s="456">
        <f>IF(AQ50="2",BH50,0)</f>
        <v>0</v>
      </c>
      <c r="AG50" s="456">
        <f>IF(AQ50="2",BI50,0)</f>
        <v>0</v>
      </c>
      <c r="AH50" s="456">
        <f>IF(AQ50="0",BJ50,0)</f>
        <v>0</v>
      </c>
      <c r="AI50" s="438" t="s">
        <v>648</v>
      </c>
      <c r="AJ50" s="456">
        <f>IF(AN50=0,J50,0)</f>
        <v>0</v>
      </c>
      <c r="AK50" s="456">
        <f>IF(AN50=12,J50,0)</f>
        <v>0</v>
      </c>
      <c r="AL50" s="456">
        <f>IF(AN50=21,J50,0)</f>
        <v>0</v>
      </c>
      <c r="AN50" s="456">
        <v>21</v>
      </c>
      <c r="AO50" s="456">
        <f>G50*0.091290323</f>
        <v>0</v>
      </c>
      <c r="AP50" s="456">
        <f>G50*(1-0.091290323)</f>
        <v>0</v>
      </c>
      <c r="AQ50" s="458" t="s">
        <v>651</v>
      </c>
      <c r="AV50" s="456">
        <f>AW50+AX50</f>
        <v>0</v>
      </c>
      <c r="AW50" s="456">
        <f>F50*AO50</f>
        <v>0</v>
      </c>
      <c r="AX50" s="456">
        <f>F50*AP50</f>
        <v>0</v>
      </c>
      <c r="AY50" s="458" t="s">
        <v>708</v>
      </c>
      <c r="AZ50" s="458" t="s">
        <v>664</v>
      </c>
      <c r="BA50" s="438" t="s">
        <v>656</v>
      </c>
      <c r="BC50" s="456">
        <f>AW50+AX50</f>
        <v>0</v>
      </c>
      <c r="BD50" s="456">
        <f>G50/(100-BE50)*100</f>
        <v>0</v>
      </c>
      <c r="BE50" s="456">
        <v>0</v>
      </c>
      <c r="BF50" s="456">
        <f>50</f>
        <v>50</v>
      </c>
      <c r="BH50" s="456">
        <f>F50*AO50</f>
        <v>0</v>
      </c>
      <c r="BI50" s="456">
        <f>F50*AP50</f>
        <v>0</v>
      </c>
      <c r="BJ50" s="456">
        <f>F50*G50</f>
        <v>0</v>
      </c>
      <c r="BK50" s="456"/>
      <c r="BL50" s="456">
        <v>15</v>
      </c>
      <c r="BW50" s="456">
        <v>21</v>
      </c>
      <c r="BX50" s="459" t="s">
        <v>717</v>
      </c>
    </row>
    <row r="51" spans="1:76" ht="13.5">
      <c r="A51" s="460"/>
      <c r="C51" s="461" t="s">
        <v>1092</v>
      </c>
      <c r="D51" s="461" t="s">
        <v>648</v>
      </c>
      <c r="F51" s="462">
        <v>396.54599999999999</v>
      </c>
      <c r="K51" s="463"/>
    </row>
    <row r="52" spans="1:76" ht="13.5">
      <c r="A52" s="454" t="s">
        <v>723</v>
      </c>
      <c r="B52" s="455" t="s">
        <v>720</v>
      </c>
      <c r="C52" s="428" t="s">
        <v>721</v>
      </c>
      <c r="D52" s="424"/>
      <c r="E52" s="455" t="s">
        <v>40</v>
      </c>
      <c r="F52" s="456">
        <v>396.54599999999999</v>
      </c>
      <c r="G52" s="456">
        <v>0</v>
      </c>
      <c r="H52" s="456">
        <f>F52*AO52</f>
        <v>0</v>
      </c>
      <c r="I52" s="456">
        <f>F52*AP52</f>
        <v>0</v>
      </c>
      <c r="J52" s="456">
        <f>F52*G52</f>
        <v>0</v>
      </c>
      <c r="K52" s="457" t="s">
        <v>1410</v>
      </c>
      <c r="Z52" s="456">
        <f>IF(AQ52="5",BJ52,0)</f>
        <v>0</v>
      </c>
      <c r="AB52" s="456">
        <f>IF(AQ52="1",BH52,0)</f>
        <v>0</v>
      </c>
      <c r="AC52" s="456">
        <f>IF(AQ52="1",BI52,0)</f>
        <v>0</v>
      </c>
      <c r="AD52" s="456">
        <f>IF(AQ52="7",BH52,0)</f>
        <v>0</v>
      </c>
      <c r="AE52" s="456">
        <f>IF(AQ52="7",BI52,0)</f>
        <v>0</v>
      </c>
      <c r="AF52" s="456">
        <f>IF(AQ52="2",BH52,0)</f>
        <v>0</v>
      </c>
      <c r="AG52" s="456">
        <f>IF(AQ52="2",BI52,0)</f>
        <v>0</v>
      </c>
      <c r="AH52" s="456">
        <f>IF(AQ52="0",BJ52,0)</f>
        <v>0</v>
      </c>
      <c r="AI52" s="438" t="s">
        <v>648</v>
      </c>
      <c r="AJ52" s="456">
        <f>IF(AN52=0,J52,0)</f>
        <v>0</v>
      </c>
      <c r="AK52" s="456">
        <f>IF(AN52=12,J52,0)</f>
        <v>0</v>
      </c>
      <c r="AL52" s="456">
        <f>IF(AN52=21,J52,0)</f>
        <v>0</v>
      </c>
      <c r="AN52" s="456">
        <v>21</v>
      </c>
      <c r="AO52" s="456">
        <f>G52*0</f>
        <v>0</v>
      </c>
      <c r="AP52" s="456">
        <f>G52*(1-0)</f>
        <v>0</v>
      </c>
      <c r="AQ52" s="458" t="s">
        <v>651</v>
      </c>
      <c r="AV52" s="456">
        <f>AW52+AX52</f>
        <v>0</v>
      </c>
      <c r="AW52" s="456">
        <f>F52*AO52</f>
        <v>0</v>
      </c>
      <c r="AX52" s="456">
        <f>F52*AP52</f>
        <v>0</v>
      </c>
      <c r="AY52" s="458" t="s">
        <v>708</v>
      </c>
      <c r="AZ52" s="458" t="s">
        <v>664</v>
      </c>
      <c r="BA52" s="438" t="s">
        <v>656</v>
      </c>
      <c r="BC52" s="456">
        <f>AW52+AX52</f>
        <v>0</v>
      </c>
      <c r="BD52" s="456">
        <f>G52/(100-BE52)*100</f>
        <v>0</v>
      </c>
      <c r="BE52" s="456">
        <v>0</v>
      </c>
      <c r="BF52" s="456">
        <f>52</f>
        <v>52</v>
      </c>
      <c r="BH52" s="456">
        <f>F52*AO52</f>
        <v>0</v>
      </c>
      <c r="BI52" s="456">
        <f>F52*AP52</f>
        <v>0</v>
      </c>
      <c r="BJ52" s="456">
        <f>F52*G52</f>
        <v>0</v>
      </c>
      <c r="BK52" s="456"/>
      <c r="BL52" s="456">
        <v>15</v>
      </c>
      <c r="BW52" s="456">
        <v>21</v>
      </c>
      <c r="BX52" s="459" t="s">
        <v>721</v>
      </c>
    </row>
    <row r="53" spans="1:76" ht="13.5">
      <c r="A53" s="460"/>
      <c r="C53" s="461" t="s">
        <v>1093</v>
      </c>
      <c r="D53" s="461" t="s">
        <v>648</v>
      </c>
      <c r="F53" s="462">
        <v>396.54599999999999</v>
      </c>
      <c r="K53" s="463"/>
    </row>
    <row r="54" spans="1:76" ht="13.5">
      <c r="A54" s="454" t="s">
        <v>728</v>
      </c>
      <c r="B54" s="455" t="s">
        <v>1094</v>
      </c>
      <c r="C54" s="428" t="s">
        <v>1095</v>
      </c>
      <c r="D54" s="424"/>
      <c r="E54" s="455" t="s">
        <v>40</v>
      </c>
      <c r="F54" s="456">
        <v>5.8</v>
      </c>
      <c r="G54" s="456">
        <v>0</v>
      </c>
      <c r="H54" s="456">
        <f>F54*AO54</f>
        <v>0</v>
      </c>
      <c r="I54" s="456">
        <f>F54*AP54</f>
        <v>0</v>
      </c>
      <c r="J54" s="456">
        <f>F54*G54</f>
        <v>0</v>
      </c>
      <c r="K54" s="457" t="s">
        <v>1410</v>
      </c>
      <c r="Z54" s="456">
        <f>IF(AQ54="5",BJ54,0)</f>
        <v>0</v>
      </c>
      <c r="AB54" s="456">
        <f>IF(AQ54="1",BH54,0)</f>
        <v>0</v>
      </c>
      <c r="AC54" s="456">
        <f>IF(AQ54="1",BI54,0)</f>
        <v>0</v>
      </c>
      <c r="AD54" s="456">
        <f>IF(AQ54="7",BH54,0)</f>
        <v>0</v>
      </c>
      <c r="AE54" s="456">
        <f>IF(AQ54="7",BI54,0)</f>
        <v>0</v>
      </c>
      <c r="AF54" s="456">
        <f>IF(AQ54="2",BH54,0)</f>
        <v>0</v>
      </c>
      <c r="AG54" s="456">
        <f>IF(AQ54="2",BI54,0)</f>
        <v>0</v>
      </c>
      <c r="AH54" s="456">
        <f>IF(AQ54="0",BJ54,0)</f>
        <v>0</v>
      </c>
      <c r="AI54" s="438" t="s">
        <v>648</v>
      </c>
      <c r="AJ54" s="456">
        <f>IF(AN54=0,J54,0)</f>
        <v>0</v>
      </c>
      <c r="AK54" s="456">
        <f>IF(AN54=12,J54,0)</f>
        <v>0</v>
      </c>
      <c r="AL54" s="456">
        <f>IF(AN54=21,J54,0)</f>
        <v>0</v>
      </c>
      <c r="AN54" s="456">
        <v>21</v>
      </c>
      <c r="AO54" s="456">
        <f>G54*0.088676717</f>
        <v>0</v>
      </c>
      <c r="AP54" s="456">
        <f>G54*(1-0.088676717)</f>
        <v>0</v>
      </c>
      <c r="AQ54" s="458" t="s">
        <v>651</v>
      </c>
      <c r="AV54" s="456">
        <f>AW54+AX54</f>
        <v>0</v>
      </c>
      <c r="AW54" s="456">
        <f>F54*AO54</f>
        <v>0</v>
      </c>
      <c r="AX54" s="456">
        <f>F54*AP54</f>
        <v>0</v>
      </c>
      <c r="AY54" s="458" t="s">
        <v>708</v>
      </c>
      <c r="AZ54" s="458" t="s">
        <v>664</v>
      </c>
      <c r="BA54" s="438" t="s">
        <v>656</v>
      </c>
      <c r="BC54" s="456">
        <f>AW54+AX54</f>
        <v>0</v>
      </c>
      <c r="BD54" s="456">
        <f>G54/(100-BE54)*100</f>
        <v>0</v>
      </c>
      <c r="BE54" s="456">
        <v>0</v>
      </c>
      <c r="BF54" s="456">
        <f>54</f>
        <v>54</v>
      </c>
      <c r="BH54" s="456">
        <f>F54*AO54</f>
        <v>0</v>
      </c>
      <c r="BI54" s="456">
        <f>F54*AP54</f>
        <v>0</v>
      </c>
      <c r="BJ54" s="456">
        <f>F54*G54</f>
        <v>0</v>
      </c>
      <c r="BK54" s="456"/>
      <c r="BL54" s="456">
        <v>15</v>
      </c>
      <c r="BW54" s="456">
        <v>21</v>
      </c>
      <c r="BX54" s="459" t="s">
        <v>1095</v>
      </c>
    </row>
    <row r="55" spans="1:76" ht="13.5">
      <c r="A55" s="460"/>
      <c r="C55" s="461" t="s">
        <v>1096</v>
      </c>
      <c r="D55" s="461" t="s">
        <v>648</v>
      </c>
      <c r="F55" s="462">
        <v>5.8</v>
      </c>
      <c r="K55" s="463"/>
    </row>
    <row r="56" spans="1:76" ht="13.5">
      <c r="A56" s="454" t="s">
        <v>731</v>
      </c>
      <c r="B56" s="455" t="s">
        <v>1097</v>
      </c>
      <c r="C56" s="428" t="s">
        <v>1098</v>
      </c>
      <c r="D56" s="424"/>
      <c r="E56" s="455" t="s">
        <v>40</v>
      </c>
      <c r="F56" s="456">
        <v>5.8</v>
      </c>
      <c r="G56" s="456">
        <v>0</v>
      </c>
      <c r="H56" s="456">
        <f>F56*AO56</f>
        <v>0</v>
      </c>
      <c r="I56" s="456">
        <f>F56*AP56</f>
        <v>0</v>
      </c>
      <c r="J56" s="456">
        <f>F56*G56</f>
        <v>0</v>
      </c>
      <c r="K56" s="457" t="s">
        <v>1410</v>
      </c>
      <c r="Z56" s="456">
        <f>IF(AQ56="5",BJ56,0)</f>
        <v>0</v>
      </c>
      <c r="AB56" s="456">
        <f>IF(AQ56="1",BH56,0)</f>
        <v>0</v>
      </c>
      <c r="AC56" s="456">
        <f>IF(AQ56="1",BI56,0)</f>
        <v>0</v>
      </c>
      <c r="AD56" s="456">
        <f>IF(AQ56="7",BH56,0)</f>
        <v>0</v>
      </c>
      <c r="AE56" s="456">
        <f>IF(AQ56="7",BI56,0)</f>
        <v>0</v>
      </c>
      <c r="AF56" s="456">
        <f>IF(AQ56="2",BH56,0)</f>
        <v>0</v>
      </c>
      <c r="AG56" s="456">
        <f>IF(AQ56="2",BI56,0)</f>
        <v>0</v>
      </c>
      <c r="AH56" s="456">
        <f>IF(AQ56="0",BJ56,0)</f>
        <v>0</v>
      </c>
      <c r="AI56" s="438" t="s">
        <v>648</v>
      </c>
      <c r="AJ56" s="456">
        <f>IF(AN56=0,J56,0)</f>
        <v>0</v>
      </c>
      <c r="AK56" s="456">
        <f>IF(AN56=12,J56,0)</f>
        <v>0</v>
      </c>
      <c r="AL56" s="456">
        <f>IF(AN56=21,J56,0)</f>
        <v>0</v>
      </c>
      <c r="AN56" s="456">
        <v>21</v>
      </c>
      <c r="AO56" s="456">
        <f>G56*0</f>
        <v>0</v>
      </c>
      <c r="AP56" s="456">
        <f>G56*(1-0)</f>
        <v>0</v>
      </c>
      <c r="AQ56" s="458" t="s">
        <v>651</v>
      </c>
      <c r="AV56" s="456">
        <f>AW56+AX56</f>
        <v>0</v>
      </c>
      <c r="AW56" s="456">
        <f>F56*AO56</f>
        <v>0</v>
      </c>
      <c r="AX56" s="456">
        <f>F56*AP56</f>
        <v>0</v>
      </c>
      <c r="AY56" s="458" t="s">
        <v>708</v>
      </c>
      <c r="AZ56" s="458" t="s">
        <v>664</v>
      </c>
      <c r="BA56" s="438" t="s">
        <v>656</v>
      </c>
      <c r="BC56" s="456">
        <f>AW56+AX56</f>
        <v>0</v>
      </c>
      <c r="BD56" s="456">
        <f>G56/(100-BE56)*100</f>
        <v>0</v>
      </c>
      <c r="BE56" s="456">
        <v>0</v>
      </c>
      <c r="BF56" s="456">
        <f>56</f>
        <v>56</v>
      </c>
      <c r="BH56" s="456">
        <f>F56*AO56</f>
        <v>0</v>
      </c>
      <c r="BI56" s="456">
        <f>F56*AP56</f>
        <v>0</v>
      </c>
      <c r="BJ56" s="456">
        <f>F56*G56</f>
        <v>0</v>
      </c>
      <c r="BK56" s="456"/>
      <c r="BL56" s="456">
        <v>15</v>
      </c>
      <c r="BW56" s="456">
        <v>21</v>
      </c>
      <c r="BX56" s="459" t="s">
        <v>1098</v>
      </c>
    </row>
    <row r="57" spans="1:76" ht="13.5">
      <c r="A57" s="460"/>
      <c r="C57" s="461" t="s">
        <v>1099</v>
      </c>
      <c r="D57" s="461" t="s">
        <v>648</v>
      </c>
      <c r="F57" s="462">
        <v>5.8</v>
      </c>
      <c r="K57" s="463"/>
    </row>
    <row r="58" spans="1:76" ht="13.5">
      <c r="A58" s="448" t="s">
        <v>648</v>
      </c>
      <c r="B58" s="449" t="s">
        <v>715</v>
      </c>
      <c r="C58" s="450" t="s">
        <v>722</v>
      </c>
      <c r="D58" s="451"/>
      <c r="E58" s="452" t="s">
        <v>607</v>
      </c>
      <c r="F58" s="452" t="s">
        <v>607</v>
      </c>
      <c r="G58" s="452" t="s">
        <v>607</v>
      </c>
      <c r="H58" s="416">
        <f>SUM(H59:H81)</f>
        <v>0</v>
      </c>
      <c r="I58" s="416">
        <f>SUM(I59:I81)</f>
        <v>0</v>
      </c>
      <c r="J58" s="416">
        <f>SUM(J59:J81)</f>
        <v>0</v>
      </c>
      <c r="K58" s="453" t="s">
        <v>648</v>
      </c>
      <c r="AI58" s="438" t="s">
        <v>648</v>
      </c>
      <c r="AS58" s="416">
        <f>SUM(AJ59:AJ81)</f>
        <v>0</v>
      </c>
      <c r="AT58" s="416">
        <f>SUM(AK59:AK81)</f>
        <v>0</v>
      </c>
      <c r="AU58" s="416">
        <f>SUM(AL59:AL81)</f>
        <v>0</v>
      </c>
    </row>
    <row r="59" spans="1:76" ht="13.5">
      <c r="A59" s="454" t="s">
        <v>735</v>
      </c>
      <c r="B59" s="455" t="s">
        <v>724</v>
      </c>
      <c r="C59" s="428" t="s">
        <v>725</v>
      </c>
      <c r="D59" s="424"/>
      <c r="E59" s="455" t="s">
        <v>687</v>
      </c>
      <c r="F59" s="456">
        <v>78.143540000000002</v>
      </c>
      <c r="G59" s="456">
        <v>0</v>
      </c>
      <c r="H59" s="456">
        <f>F59*AO59</f>
        <v>0</v>
      </c>
      <c r="I59" s="456">
        <f>F59*AP59</f>
        <v>0</v>
      </c>
      <c r="J59" s="456">
        <f>F59*G59</f>
        <v>0</v>
      </c>
      <c r="K59" s="457" t="s">
        <v>1410</v>
      </c>
      <c r="Z59" s="456">
        <f>IF(AQ59="5",BJ59,0)</f>
        <v>0</v>
      </c>
      <c r="AB59" s="456">
        <f>IF(AQ59="1",BH59,0)</f>
        <v>0</v>
      </c>
      <c r="AC59" s="456">
        <f>IF(AQ59="1",BI59,0)</f>
        <v>0</v>
      </c>
      <c r="AD59" s="456">
        <f>IF(AQ59="7",BH59,0)</f>
        <v>0</v>
      </c>
      <c r="AE59" s="456">
        <f>IF(AQ59="7",BI59,0)</f>
        <v>0</v>
      </c>
      <c r="AF59" s="456">
        <f>IF(AQ59="2",BH59,0)</f>
        <v>0</v>
      </c>
      <c r="AG59" s="456">
        <f>IF(AQ59="2",BI59,0)</f>
        <v>0</v>
      </c>
      <c r="AH59" s="456">
        <f>IF(AQ59="0",BJ59,0)</f>
        <v>0</v>
      </c>
      <c r="AI59" s="438" t="s">
        <v>648</v>
      </c>
      <c r="AJ59" s="456">
        <f>IF(AN59=0,J59,0)</f>
        <v>0</v>
      </c>
      <c r="AK59" s="456">
        <f>IF(AN59=12,J59,0)</f>
        <v>0</v>
      </c>
      <c r="AL59" s="456">
        <f>IF(AN59=21,J59,0)</f>
        <v>0</v>
      </c>
      <c r="AN59" s="456">
        <v>21</v>
      </c>
      <c r="AO59" s="456">
        <f>G59*0</f>
        <v>0</v>
      </c>
      <c r="AP59" s="456">
        <f>G59*(1-0)</f>
        <v>0</v>
      </c>
      <c r="AQ59" s="458" t="s">
        <v>651</v>
      </c>
      <c r="AV59" s="456">
        <f>AW59+AX59</f>
        <v>0</v>
      </c>
      <c r="AW59" s="456">
        <f>F59*AO59</f>
        <v>0</v>
      </c>
      <c r="AX59" s="456">
        <f>F59*AP59</f>
        <v>0</v>
      </c>
      <c r="AY59" s="458" t="s">
        <v>726</v>
      </c>
      <c r="AZ59" s="458" t="s">
        <v>664</v>
      </c>
      <c r="BA59" s="438" t="s">
        <v>656</v>
      </c>
      <c r="BC59" s="456">
        <f>AW59+AX59</f>
        <v>0</v>
      </c>
      <c r="BD59" s="456">
        <f>G59/(100-BE59)*100</f>
        <v>0</v>
      </c>
      <c r="BE59" s="456">
        <v>0</v>
      </c>
      <c r="BF59" s="456">
        <f>59</f>
        <v>59</v>
      </c>
      <c r="BH59" s="456">
        <f>F59*AO59</f>
        <v>0</v>
      </c>
      <c r="BI59" s="456">
        <f>F59*AP59</f>
        <v>0</v>
      </c>
      <c r="BJ59" s="456">
        <f>F59*G59</f>
        <v>0</v>
      </c>
      <c r="BK59" s="456"/>
      <c r="BL59" s="456">
        <v>16</v>
      </c>
      <c r="BW59" s="456">
        <v>21</v>
      </c>
      <c r="BX59" s="459" t="s">
        <v>725</v>
      </c>
    </row>
    <row r="60" spans="1:76" ht="13.5">
      <c r="A60" s="460"/>
      <c r="C60" s="461" t="s">
        <v>1100</v>
      </c>
      <c r="D60" s="461" t="s">
        <v>648</v>
      </c>
      <c r="F60" s="462">
        <v>76.257499999999993</v>
      </c>
      <c r="K60" s="463"/>
    </row>
    <row r="61" spans="1:76" ht="13.5">
      <c r="A61" s="460"/>
      <c r="C61" s="461" t="s">
        <v>1101</v>
      </c>
      <c r="D61" s="461" t="s">
        <v>648</v>
      </c>
      <c r="F61" s="462">
        <v>1.8860399999999999</v>
      </c>
      <c r="K61" s="463"/>
    </row>
    <row r="62" spans="1:76" ht="13.5">
      <c r="A62" s="454" t="s">
        <v>738</v>
      </c>
      <c r="B62" s="455" t="s">
        <v>729</v>
      </c>
      <c r="C62" s="428" t="s">
        <v>730</v>
      </c>
      <c r="D62" s="424"/>
      <c r="E62" s="455" t="s">
        <v>687</v>
      </c>
      <c r="F62" s="456">
        <v>223.48500000000001</v>
      </c>
      <c r="G62" s="456">
        <v>0</v>
      </c>
      <c r="H62" s="456">
        <f>F62*AO62</f>
        <v>0</v>
      </c>
      <c r="I62" s="456">
        <f>F62*AP62</f>
        <v>0</v>
      </c>
      <c r="J62" s="456">
        <f>F62*G62</f>
        <v>0</v>
      </c>
      <c r="K62" s="457" t="s">
        <v>1410</v>
      </c>
      <c r="Z62" s="456">
        <f>IF(AQ62="5",BJ62,0)</f>
        <v>0</v>
      </c>
      <c r="AB62" s="456">
        <f>IF(AQ62="1",BH62,0)</f>
        <v>0</v>
      </c>
      <c r="AC62" s="456">
        <f>IF(AQ62="1",BI62,0)</f>
        <v>0</v>
      </c>
      <c r="AD62" s="456">
        <f>IF(AQ62="7",BH62,0)</f>
        <v>0</v>
      </c>
      <c r="AE62" s="456">
        <f>IF(AQ62="7",BI62,0)</f>
        <v>0</v>
      </c>
      <c r="AF62" s="456">
        <f>IF(AQ62="2",BH62,0)</f>
        <v>0</v>
      </c>
      <c r="AG62" s="456">
        <f>IF(AQ62="2",BI62,0)</f>
        <v>0</v>
      </c>
      <c r="AH62" s="456">
        <f>IF(AQ62="0",BJ62,0)</f>
        <v>0</v>
      </c>
      <c r="AI62" s="438" t="s">
        <v>648</v>
      </c>
      <c r="AJ62" s="456">
        <f>IF(AN62=0,J62,0)</f>
        <v>0</v>
      </c>
      <c r="AK62" s="456">
        <f>IF(AN62=12,J62,0)</f>
        <v>0</v>
      </c>
      <c r="AL62" s="456">
        <f>IF(AN62=21,J62,0)</f>
        <v>0</v>
      </c>
      <c r="AN62" s="456">
        <v>21</v>
      </c>
      <c r="AO62" s="456">
        <f>G62*0</f>
        <v>0</v>
      </c>
      <c r="AP62" s="456">
        <f>G62*(1-0)</f>
        <v>0</v>
      </c>
      <c r="AQ62" s="458" t="s">
        <v>651</v>
      </c>
      <c r="AV62" s="456">
        <f>AW62+AX62</f>
        <v>0</v>
      </c>
      <c r="AW62" s="456">
        <f>F62*AO62</f>
        <v>0</v>
      </c>
      <c r="AX62" s="456">
        <f>F62*AP62</f>
        <v>0</v>
      </c>
      <c r="AY62" s="458" t="s">
        <v>726</v>
      </c>
      <c r="AZ62" s="458" t="s">
        <v>664</v>
      </c>
      <c r="BA62" s="438" t="s">
        <v>656</v>
      </c>
      <c r="BC62" s="456">
        <f>AW62+AX62</f>
        <v>0</v>
      </c>
      <c r="BD62" s="456">
        <f>G62/(100-BE62)*100</f>
        <v>0</v>
      </c>
      <c r="BE62" s="456">
        <v>0</v>
      </c>
      <c r="BF62" s="456">
        <f>62</f>
        <v>62</v>
      </c>
      <c r="BH62" s="456">
        <f>F62*AO62</f>
        <v>0</v>
      </c>
      <c r="BI62" s="456">
        <f>F62*AP62</f>
        <v>0</v>
      </c>
      <c r="BJ62" s="456">
        <f>F62*G62</f>
        <v>0</v>
      </c>
      <c r="BK62" s="456"/>
      <c r="BL62" s="456">
        <v>16</v>
      </c>
      <c r="BW62" s="456">
        <v>21</v>
      </c>
      <c r="BX62" s="459" t="s">
        <v>730</v>
      </c>
    </row>
    <row r="63" spans="1:76" ht="13.5">
      <c r="A63" s="460"/>
      <c r="C63" s="461" t="s">
        <v>1419</v>
      </c>
      <c r="D63" s="461" t="s">
        <v>648</v>
      </c>
      <c r="F63" s="462">
        <v>211.07400000000001</v>
      </c>
      <c r="K63" s="463"/>
    </row>
    <row r="64" spans="1:76" ht="13.5">
      <c r="A64" s="460"/>
      <c r="C64" s="461" t="s">
        <v>1102</v>
      </c>
      <c r="D64" s="461" t="s">
        <v>648</v>
      </c>
      <c r="F64" s="462">
        <v>12.411</v>
      </c>
      <c r="K64" s="463"/>
    </row>
    <row r="65" spans="1:76" ht="13.5">
      <c r="A65" s="454" t="s">
        <v>741</v>
      </c>
      <c r="B65" s="455" t="s">
        <v>732</v>
      </c>
      <c r="C65" s="428" t="s">
        <v>733</v>
      </c>
      <c r="D65" s="424"/>
      <c r="E65" s="455" t="s">
        <v>687</v>
      </c>
      <c r="F65" s="456">
        <v>194.74527</v>
      </c>
      <c r="G65" s="456">
        <v>0</v>
      </c>
      <c r="H65" s="456">
        <f>F65*AO65</f>
        <v>0</v>
      </c>
      <c r="I65" s="456">
        <f>F65*AP65</f>
        <v>0</v>
      </c>
      <c r="J65" s="456">
        <f>F65*G65</f>
        <v>0</v>
      </c>
      <c r="K65" s="457" t="s">
        <v>1410</v>
      </c>
      <c r="Z65" s="456">
        <f>IF(AQ65="5",BJ65,0)</f>
        <v>0</v>
      </c>
      <c r="AB65" s="456">
        <f>IF(AQ65="1",BH65,0)</f>
        <v>0</v>
      </c>
      <c r="AC65" s="456">
        <f>IF(AQ65="1",BI65,0)</f>
        <v>0</v>
      </c>
      <c r="AD65" s="456">
        <f>IF(AQ65="7",BH65,0)</f>
        <v>0</v>
      </c>
      <c r="AE65" s="456">
        <f>IF(AQ65="7",BI65,0)</f>
        <v>0</v>
      </c>
      <c r="AF65" s="456">
        <f>IF(AQ65="2",BH65,0)</f>
        <v>0</v>
      </c>
      <c r="AG65" s="456">
        <f>IF(AQ65="2",BI65,0)</f>
        <v>0</v>
      </c>
      <c r="AH65" s="456">
        <f>IF(AQ65="0",BJ65,0)</f>
        <v>0</v>
      </c>
      <c r="AI65" s="438" t="s">
        <v>648</v>
      </c>
      <c r="AJ65" s="456">
        <f>IF(AN65=0,J65,0)</f>
        <v>0</v>
      </c>
      <c r="AK65" s="456">
        <f>IF(AN65=12,J65,0)</f>
        <v>0</v>
      </c>
      <c r="AL65" s="456">
        <f>IF(AN65=21,J65,0)</f>
        <v>0</v>
      </c>
      <c r="AN65" s="456">
        <v>21</v>
      </c>
      <c r="AO65" s="456">
        <f>G65*0</f>
        <v>0</v>
      </c>
      <c r="AP65" s="456">
        <f>G65*(1-0)</f>
        <v>0</v>
      </c>
      <c r="AQ65" s="458" t="s">
        <v>651</v>
      </c>
      <c r="AV65" s="456">
        <f>AW65+AX65</f>
        <v>0</v>
      </c>
      <c r="AW65" s="456">
        <f>F65*AO65</f>
        <v>0</v>
      </c>
      <c r="AX65" s="456">
        <f>F65*AP65</f>
        <v>0</v>
      </c>
      <c r="AY65" s="458" t="s">
        <v>726</v>
      </c>
      <c r="AZ65" s="458" t="s">
        <v>664</v>
      </c>
      <c r="BA65" s="438" t="s">
        <v>656</v>
      </c>
      <c r="BC65" s="456">
        <f>AW65+AX65</f>
        <v>0</v>
      </c>
      <c r="BD65" s="456">
        <f>G65/(100-BE65)*100</f>
        <v>0</v>
      </c>
      <c r="BE65" s="456">
        <v>0</v>
      </c>
      <c r="BF65" s="456">
        <f>65</f>
        <v>65</v>
      </c>
      <c r="BH65" s="456">
        <f>F65*AO65</f>
        <v>0</v>
      </c>
      <c r="BI65" s="456">
        <f>F65*AP65</f>
        <v>0</v>
      </c>
      <c r="BJ65" s="456">
        <f>F65*G65</f>
        <v>0</v>
      </c>
      <c r="BK65" s="456"/>
      <c r="BL65" s="456">
        <v>16</v>
      </c>
      <c r="BW65" s="456">
        <v>21</v>
      </c>
      <c r="BX65" s="459" t="s">
        <v>733</v>
      </c>
    </row>
    <row r="66" spans="1:76" ht="13.5">
      <c r="A66" s="460"/>
      <c r="C66" s="461" t="s">
        <v>1103</v>
      </c>
      <c r="D66" s="461" t="s">
        <v>648</v>
      </c>
      <c r="F66" s="462">
        <v>50.499540000000003</v>
      </c>
      <c r="K66" s="463"/>
    </row>
    <row r="67" spans="1:76" ht="13.5">
      <c r="A67" s="460"/>
      <c r="C67" s="461" t="s">
        <v>1420</v>
      </c>
      <c r="D67" s="461" t="s">
        <v>648</v>
      </c>
      <c r="F67" s="462">
        <v>144.24573000000001</v>
      </c>
      <c r="K67" s="463"/>
    </row>
    <row r="68" spans="1:76" ht="13.5">
      <c r="A68" s="454" t="s">
        <v>743</v>
      </c>
      <c r="B68" s="455" t="s">
        <v>736</v>
      </c>
      <c r="C68" s="428" t="s">
        <v>737</v>
      </c>
      <c r="D68" s="424"/>
      <c r="E68" s="455" t="s">
        <v>687</v>
      </c>
      <c r="F68" s="456">
        <v>194.74527</v>
      </c>
      <c r="G68" s="456">
        <v>0</v>
      </c>
      <c r="H68" s="456">
        <f>F68*AO68</f>
        <v>0</v>
      </c>
      <c r="I68" s="456">
        <f>F68*AP68</f>
        <v>0</v>
      </c>
      <c r="J68" s="456">
        <f>F68*G68</f>
        <v>0</v>
      </c>
      <c r="K68" s="457" t="s">
        <v>1410</v>
      </c>
      <c r="Z68" s="456">
        <f>IF(AQ68="5",BJ68,0)</f>
        <v>0</v>
      </c>
      <c r="AB68" s="456">
        <f>IF(AQ68="1",BH68,0)</f>
        <v>0</v>
      </c>
      <c r="AC68" s="456">
        <f>IF(AQ68="1",BI68,0)</f>
        <v>0</v>
      </c>
      <c r="AD68" s="456">
        <f>IF(AQ68="7",BH68,0)</f>
        <v>0</v>
      </c>
      <c r="AE68" s="456">
        <f>IF(AQ68="7",BI68,0)</f>
        <v>0</v>
      </c>
      <c r="AF68" s="456">
        <f>IF(AQ68="2",BH68,0)</f>
        <v>0</v>
      </c>
      <c r="AG68" s="456">
        <f>IF(AQ68="2",BI68,0)</f>
        <v>0</v>
      </c>
      <c r="AH68" s="456">
        <f>IF(AQ68="0",BJ68,0)</f>
        <v>0</v>
      </c>
      <c r="AI68" s="438" t="s">
        <v>648</v>
      </c>
      <c r="AJ68" s="456">
        <f>IF(AN68=0,J68,0)</f>
        <v>0</v>
      </c>
      <c r="AK68" s="456">
        <f>IF(AN68=12,J68,0)</f>
        <v>0</v>
      </c>
      <c r="AL68" s="456">
        <f>IF(AN68=21,J68,0)</f>
        <v>0</v>
      </c>
      <c r="AN68" s="456">
        <v>21</v>
      </c>
      <c r="AO68" s="456">
        <f>G68*0</f>
        <v>0</v>
      </c>
      <c r="AP68" s="456">
        <f>G68*(1-0)</f>
        <v>0</v>
      </c>
      <c r="AQ68" s="458" t="s">
        <v>651</v>
      </c>
      <c r="AV68" s="456">
        <f>AW68+AX68</f>
        <v>0</v>
      </c>
      <c r="AW68" s="456">
        <f>F68*AO68</f>
        <v>0</v>
      </c>
      <c r="AX68" s="456">
        <f>F68*AP68</f>
        <v>0</v>
      </c>
      <c r="AY68" s="458" t="s">
        <v>726</v>
      </c>
      <c r="AZ68" s="458" t="s">
        <v>664</v>
      </c>
      <c r="BA68" s="438" t="s">
        <v>656</v>
      </c>
      <c r="BC68" s="456">
        <f>AW68+AX68</f>
        <v>0</v>
      </c>
      <c r="BD68" s="456">
        <f>G68/(100-BE68)*100</f>
        <v>0</v>
      </c>
      <c r="BE68" s="456">
        <v>0</v>
      </c>
      <c r="BF68" s="456">
        <f>68</f>
        <v>68</v>
      </c>
      <c r="BH68" s="456">
        <f>F68*AO68</f>
        <v>0</v>
      </c>
      <c r="BI68" s="456">
        <f>F68*AP68</f>
        <v>0</v>
      </c>
      <c r="BJ68" s="456">
        <f>F68*G68</f>
        <v>0</v>
      </c>
      <c r="BK68" s="456"/>
      <c r="BL68" s="456">
        <v>16</v>
      </c>
      <c r="BW68" s="456">
        <v>21</v>
      </c>
      <c r="BX68" s="459" t="s">
        <v>737</v>
      </c>
    </row>
    <row r="69" spans="1:76" ht="13.5">
      <c r="A69" s="460"/>
      <c r="C69" s="461" t="s">
        <v>1421</v>
      </c>
      <c r="D69" s="461" t="s">
        <v>648</v>
      </c>
      <c r="F69" s="462">
        <v>194.74527</v>
      </c>
      <c r="K69" s="463"/>
    </row>
    <row r="70" spans="1:76" ht="13.5">
      <c r="A70" s="454" t="s">
        <v>746</v>
      </c>
      <c r="B70" s="455" t="s">
        <v>732</v>
      </c>
      <c r="C70" s="428" t="s">
        <v>739</v>
      </c>
      <c r="D70" s="424"/>
      <c r="E70" s="455" t="s">
        <v>687</v>
      </c>
      <c r="F70" s="456">
        <v>194.74527</v>
      </c>
      <c r="G70" s="456">
        <v>0</v>
      </c>
      <c r="H70" s="456">
        <f>F70*AO70</f>
        <v>0</v>
      </c>
      <c r="I70" s="456">
        <f>F70*AP70</f>
        <v>0</v>
      </c>
      <c r="J70" s="456">
        <f>F70*G70</f>
        <v>0</v>
      </c>
      <c r="K70" s="457" t="s">
        <v>1410</v>
      </c>
      <c r="Z70" s="456">
        <f>IF(AQ70="5",BJ70,0)</f>
        <v>0</v>
      </c>
      <c r="AB70" s="456">
        <f>IF(AQ70="1",BH70,0)</f>
        <v>0</v>
      </c>
      <c r="AC70" s="456">
        <f>IF(AQ70="1",BI70,0)</f>
        <v>0</v>
      </c>
      <c r="AD70" s="456">
        <f>IF(AQ70="7",BH70,0)</f>
        <v>0</v>
      </c>
      <c r="AE70" s="456">
        <f>IF(AQ70="7",BI70,0)</f>
        <v>0</v>
      </c>
      <c r="AF70" s="456">
        <f>IF(AQ70="2",BH70,0)</f>
        <v>0</v>
      </c>
      <c r="AG70" s="456">
        <f>IF(AQ70="2",BI70,0)</f>
        <v>0</v>
      </c>
      <c r="AH70" s="456">
        <f>IF(AQ70="0",BJ70,0)</f>
        <v>0</v>
      </c>
      <c r="AI70" s="438" t="s">
        <v>648</v>
      </c>
      <c r="AJ70" s="456">
        <f>IF(AN70=0,J70,0)</f>
        <v>0</v>
      </c>
      <c r="AK70" s="456">
        <f>IF(AN70=12,J70,0)</f>
        <v>0</v>
      </c>
      <c r="AL70" s="456">
        <f>IF(AN70=21,J70,0)</f>
        <v>0</v>
      </c>
      <c r="AN70" s="456">
        <v>21</v>
      </c>
      <c r="AO70" s="456">
        <f>G70*0</f>
        <v>0</v>
      </c>
      <c r="AP70" s="456">
        <f>G70*(1-0)</f>
        <v>0</v>
      </c>
      <c r="AQ70" s="458" t="s">
        <v>651</v>
      </c>
      <c r="AV70" s="456">
        <f>AW70+AX70</f>
        <v>0</v>
      </c>
      <c r="AW70" s="456">
        <f>F70*AO70</f>
        <v>0</v>
      </c>
      <c r="AX70" s="456">
        <f>F70*AP70</f>
        <v>0</v>
      </c>
      <c r="AY70" s="458" t="s">
        <v>726</v>
      </c>
      <c r="AZ70" s="458" t="s">
        <v>664</v>
      </c>
      <c r="BA70" s="438" t="s">
        <v>656</v>
      </c>
      <c r="BC70" s="456">
        <f>AW70+AX70</f>
        <v>0</v>
      </c>
      <c r="BD70" s="456">
        <f>G70/(100-BE70)*100</f>
        <v>0</v>
      </c>
      <c r="BE70" s="456">
        <v>0</v>
      </c>
      <c r="BF70" s="456">
        <f>70</f>
        <v>70</v>
      </c>
      <c r="BH70" s="456">
        <f>F70*AO70</f>
        <v>0</v>
      </c>
      <c r="BI70" s="456">
        <f>F70*AP70</f>
        <v>0</v>
      </c>
      <c r="BJ70" s="456">
        <f>F70*G70</f>
        <v>0</v>
      </c>
      <c r="BK70" s="456"/>
      <c r="BL70" s="456">
        <v>16</v>
      </c>
      <c r="BW70" s="456">
        <v>21</v>
      </c>
      <c r="BX70" s="459" t="s">
        <v>739</v>
      </c>
    </row>
    <row r="71" spans="1:76" ht="13.5">
      <c r="A71" s="460"/>
      <c r="C71" s="461" t="s">
        <v>1103</v>
      </c>
      <c r="D71" s="461" t="s">
        <v>648</v>
      </c>
      <c r="F71" s="462">
        <v>50.499540000000003</v>
      </c>
      <c r="K71" s="463"/>
    </row>
    <row r="72" spans="1:76" ht="13.5">
      <c r="A72" s="460"/>
      <c r="C72" s="461" t="s">
        <v>1420</v>
      </c>
      <c r="D72" s="461" t="s">
        <v>648</v>
      </c>
      <c r="F72" s="462">
        <v>144.24573000000001</v>
      </c>
      <c r="K72" s="463"/>
    </row>
    <row r="73" spans="1:76" ht="13.5">
      <c r="A73" s="454" t="s">
        <v>749</v>
      </c>
      <c r="B73" s="455" t="s">
        <v>736</v>
      </c>
      <c r="C73" s="428" t="s">
        <v>742</v>
      </c>
      <c r="D73" s="424"/>
      <c r="E73" s="455" t="s">
        <v>687</v>
      </c>
      <c r="F73" s="456">
        <v>194.74527</v>
      </c>
      <c r="G73" s="456">
        <v>0</v>
      </c>
      <c r="H73" s="456">
        <f>F73*AO73</f>
        <v>0</v>
      </c>
      <c r="I73" s="456">
        <f>F73*AP73</f>
        <v>0</v>
      </c>
      <c r="J73" s="456">
        <f>F73*G73</f>
        <v>0</v>
      </c>
      <c r="K73" s="457" t="s">
        <v>1410</v>
      </c>
      <c r="Z73" s="456">
        <f>IF(AQ73="5",BJ73,0)</f>
        <v>0</v>
      </c>
      <c r="AB73" s="456">
        <f>IF(AQ73="1",BH73,0)</f>
        <v>0</v>
      </c>
      <c r="AC73" s="456">
        <f>IF(AQ73="1",BI73,0)</f>
        <v>0</v>
      </c>
      <c r="AD73" s="456">
        <f>IF(AQ73="7",BH73,0)</f>
        <v>0</v>
      </c>
      <c r="AE73" s="456">
        <f>IF(AQ73="7",BI73,0)</f>
        <v>0</v>
      </c>
      <c r="AF73" s="456">
        <f>IF(AQ73="2",BH73,0)</f>
        <v>0</v>
      </c>
      <c r="AG73" s="456">
        <f>IF(AQ73="2",BI73,0)</f>
        <v>0</v>
      </c>
      <c r="AH73" s="456">
        <f>IF(AQ73="0",BJ73,0)</f>
        <v>0</v>
      </c>
      <c r="AI73" s="438" t="s">
        <v>648</v>
      </c>
      <c r="AJ73" s="456">
        <f>IF(AN73=0,J73,0)</f>
        <v>0</v>
      </c>
      <c r="AK73" s="456">
        <f>IF(AN73=12,J73,0)</f>
        <v>0</v>
      </c>
      <c r="AL73" s="456">
        <f>IF(AN73=21,J73,0)</f>
        <v>0</v>
      </c>
      <c r="AN73" s="456">
        <v>21</v>
      </c>
      <c r="AO73" s="456">
        <f>G73*0</f>
        <v>0</v>
      </c>
      <c r="AP73" s="456">
        <f>G73*(1-0)</f>
        <v>0</v>
      </c>
      <c r="AQ73" s="458" t="s">
        <v>651</v>
      </c>
      <c r="AV73" s="456">
        <f>AW73+AX73</f>
        <v>0</v>
      </c>
      <c r="AW73" s="456">
        <f>F73*AO73</f>
        <v>0</v>
      </c>
      <c r="AX73" s="456">
        <f>F73*AP73</f>
        <v>0</v>
      </c>
      <c r="AY73" s="458" t="s">
        <v>726</v>
      </c>
      <c r="AZ73" s="458" t="s">
        <v>664</v>
      </c>
      <c r="BA73" s="438" t="s">
        <v>656</v>
      </c>
      <c r="BC73" s="456">
        <f>AW73+AX73</f>
        <v>0</v>
      </c>
      <c r="BD73" s="456">
        <f>G73/(100-BE73)*100</f>
        <v>0</v>
      </c>
      <c r="BE73" s="456">
        <v>0</v>
      </c>
      <c r="BF73" s="456">
        <f>73</f>
        <v>73</v>
      </c>
      <c r="BH73" s="456">
        <f>F73*AO73</f>
        <v>0</v>
      </c>
      <c r="BI73" s="456">
        <f>F73*AP73</f>
        <v>0</v>
      </c>
      <c r="BJ73" s="456">
        <f>F73*G73</f>
        <v>0</v>
      </c>
      <c r="BK73" s="456"/>
      <c r="BL73" s="456">
        <v>16</v>
      </c>
      <c r="BW73" s="456">
        <v>21</v>
      </c>
      <c r="BX73" s="459" t="s">
        <v>742</v>
      </c>
    </row>
    <row r="74" spans="1:76" ht="13.5">
      <c r="A74" s="460"/>
      <c r="C74" s="461" t="s">
        <v>1421</v>
      </c>
      <c r="D74" s="461" t="s">
        <v>648</v>
      </c>
      <c r="F74" s="462">
        <v>194.74527</v>
      </c>
      <c r="K74" s="463"/>
    </row>
    <row r="75" spans="1:76" ht="13.5">
      <c r="A75" s="454" t="s">
        <v>753</v>
      </c>
      <c r="B75" s="455" t="s">
        <v>732</v>
      </c>
      <c r="C75" s="428" t="s">
        <v>744</v>
      </c>
      <c r="D75" s="424"/>
      <c r="E75" s="455" t="s">
        <v>687</v>
      </c>
      <c r="F75" s="456">
        <v>106.88327</v>
      </c>
      <c r="G75" s="456">
        <v>0</v>
      </c>
      <c r="H75" s="456">
        <f>F75*AO75</f>
        <v>0</v>
      </c>
      <c r="I75" s="456">
        <f>F75*AP75</f>
        <v>0</v>
      </c>
      <c r="J75" s="456">
        <f>F75*G75</f>
        <v>0</v>
      </c>
      <c r="K75" s="457" t="s">
        <v>1410</v>
      </c>
      <c r="Z75" s="456">
        <f>IF(AQ75="5",BJ75,0)</f>
        <v>0</v>
      </c>
      <c r="AB75" s="456">
        <f>IF(AQ75="1",BH75,0)</f>
        <v>0</v>
      </c>
      <c r="AC75" s="456">
        <f>IF(AQ75="1",BI75,0)</f>
        <v>0</v>
      </c>
      <c r="AD75" s="456">
        <f>IF(AQ75="7",BH75,0)</f>
        <v>0</v>
      </c>
      <c r="AE75" s="456">
        <f>IF(AQ75="7",BI75,0)</f>
        <v>0</v>
      </c>
      <c r="AF75" s="456">
        <f>IF(AQ75="2",BH75,0)</f>
        <v>0</v>
      </c>
      <c r="AG75" s="456">
        <f>IF(AQ75="2",BI75,0)</f>
        <v>0</v>
      </c>
      <c r="AH75" s="456">
        <f>IF(AQ75="0",BJ75,0)</f>
        <v>0</v>
      </c>
      <c r="AI75" s="438" t="s">
        <v>648</v>
      </c>
      <c r="AJ75" s="456">
        <f>IF(AN75=0,J75,0)</f>
        <v>0</v>
      </c>
      <c r="AK75" s="456">
        <f>IF(AN75=12,J75,0)</f>
        <v>0</v>
      </c>
      <c r="AL75" s="456">
        <f>IF(AN75=21,J75,0)</f>
        <v>0</v>
      </c>
      <c r="AN75" s="456">
        <v>21</v>
      </c>
      <c r="AO75" s="456">
        <f>G75*0</f>
        <v>0</v>
      </c>
      <c r="AP75" s="456">
        <f>G75*(1-0)</f>
        <v>0</v>
      </c>
      <c r="AQ75" s="458" t="s">
        <v>651</v>
      </c>
      <c r="AV75" s="456">
        <f>AW75+AX75</f>
        <v>0</v>
      </c>
      <c r="AW75" s="456">
        <f>F75*AO75</f>
        <v>0</v>
      </c>
      <c r="AX75" s="456">
        <f>F75*AP75</f>
        <v>0</v>
      </c>
      <c r="AY75" s="458" t="s">
        <v>726</v>
      </c>
      <c r="AZ75" s="458" t="s">
        <v>664</v>
      </c>
      <c r="BA75" s="438" t="s">
        <v>656</v>
      </c>
      <c r="BC75" s="456">
        <f>AW75+AX75</f>
        <v>0</v>
      </c>
      <c r="BD75" s="456">
        <f>G75/(100-BE75)*100</f>
        <v>0</v>
      </c>
      <c r="BE75" s="456">
        <v>0</v>
      </c>
      <c r="BF75" s="456">
        <f>75</f>
        <v>75</v>
      </c>
      <c r="BH75" s="456">
        <f>F75*AO75</f>
        <v>0</v>
      </c>
      <c r="BI75" s="456">
        <f>F75*AP75</f>
        <v>0</v>
      </c>
      <c r="BJ75" s="456">
        <f>F75*G75</f>
        <v>0</v>
      </c>
      <c r="BK75" s="456"/>
      <c r="BL75" s="456">
        <v>16</v>
      </c>
      <c r="BW75" s="456">
        <v>21</v>
      </c>
      <c r="BX75" s="459" t="s">
        <v>744</v>
      </c>
    </row>
    <row r="76" spans="1:76" ht="13.5">
      <c r="A76" s="460"/>
      <c r="C76" s="461" t="s">
        <v>1422</v>
      </c>
      <c r="D76" s="461" t="s">
        <v>648</v>
      </c>
      <c r="F76" s="462">
        <v>301.62853999999999</v>
      </c>
      <c r="K76" s="463"/>
    </row>
    <row r="77" spans="1:76" ht="13.5">
      <c r="A77" s="460"/>
      <c r="C77" s="461" t="s">
        <v>1104</v>
      </c>
      <c r="D77" s="461" t="s">
        <v>648</v>
      </c>
      <c r="F77" s="462">
        <v>-50.499540000000003</v>
      </c>
      <c r="K77" s="463"/>
    </row>
    <row r="78" spans="1:76" ht="13.5">
      <c r="A78" s="460"/>
      <c r="C78" s="461" t="s">
        <v>1423</v>
      </c>
      <c r="D78" s="461" t="s">
        <v>648</v>
      </c>
      <c r="F78" s="462">
        <v>-144.24573000000001</v>
      </c>
      <c r="K78" s="463"/>
    </row>
    <row r="79" spans="1:76" ht="13.5">
      <c r="A79" s="454" t="s">
        <v>761</v>
      </c>
      <c r="B79" s="455" t="s">
        <v>747</v>
      </c>
      <c r="C79" s="428" t="s">
        <v>748</v>
      </c>
      <c r="D79" s="424"/>
      <c r="E79" s="455" t="s">
        <v>687</v>
      </c>
      <c r="F79" s="456">
        <v>106.88363</v>
      </c>
      <c r="G79" s="456">
        <v>0</v>
      </c>
      <c r="H79" s="456">
        <f>F79*AO79</f>
        <v>0</v>
      </c>
      <c r="I79" s="456">
        <f>F79*AP79</f>
        <v>0</v>
      </c>
      <c r="J79" s="456">
        <f>F79*G79</f>
        <v>0</v>
      </c>
      <c r="K79" s="457" t="s">
        <v>1410</v>
      </c>
      <c r="Z79" s="456">
        <f>IF(AQ79="5",BJ79,0)</f>
        <v>0</v>
      </c>
      <c r="AB79" s="456">
        <f>IF(AQ79="1",BH79,0)</f>
        <v>0</v>
      </c>
      <c r="AC79" s="456">
        <f>IF(AQ79="1",BI79,0)</f>
        <v>0</v>
      </c>
      <c r="AD79" s="456">
        <f>IF(AQ79="7",BH79,0)</f>
        <v>0</v>
      </c>
      <c r="AE79" s="456">
        <f>IF(AQ79="7",BI79,0)</f>
        <v>0</v>
      </c>
      <c r="AF79" s="456">
        <f>IF(AQ79="2",BH79,0)</f>
        <v>0</v>
      </c>
      <c r="AG79" s="456">
        <f>IF(AQ79="2",BI79,0)</f>
        <v>0</v>
      </c>
      <c r="AH79" s="456">
        <f>IF(AQ79="0",BJ79,0)</f>
        <v>0</v>
      </c>
      <c r="AI79" s="438" t="s">
        <v>648</v>
      </c>
      <c r="AJ79" s="456">
        <f>IF(AN79=0,J79,0)</f>
        <v>0</v>
      </c>
      <c r="AK79" s="456">
        <f>IF(AN79=12,J79,0)</f>
        <v>0</v>
      </c>
      <c r="AL79" s="456">
        <f>IF(AN79=21,J79,0)</f>
        <v>0</v>
      </c>
      <c r="AN79" s="456">
        <v>21</v>
      </c>
      <c r="AO79" s="456">
        <f>G79*0</f>
        <v>0</v>
      </c>
      <c r="AP79" s="456">
        <f>G79*(1-0)</f>
        <v>0</v>
      </c>
      <c r="AQ79" s="458" t="s">
        <v>651</v>
      </c>
      <c r="AV79" s="456">
        <f>AW79+AX79</f>
        <v>0</v>
      </c>
      <c r="AW79" s="456">
        <f>F79*AO79</f>
        <v>0</v>
      </c>
      <c r="AX79" s="456">
        <f>F79*AP79</f>
        <v>0</v>
      </c>
      <c r="AY79" s="458" t="s">
        <v>726</v>
      </c>
      <c r="AZ79" s="458" t="s">
        <v>664</v>
      </c>
      <c r="BA79" s="438" t="s">
        <v>656</v>
      </c>
      <c r="BC79" s="456">
        <f>AW79+AX79</f>
        <v>0</v>
      </c>
      <c r="BD79" s="456">
        <f>G79/(100-BE79)*100</f>
        <v>0</v>
      </c>
      <c r="BE79" s="456">
        <v>0</v>
      </c>
      <c r="BF79" s="456">
        <f>79</f>
        <v>79</v>
      </c>
      <c r="BH79" s="456">
        <f>F79*AO79</f>
        <v>0</v>
      </c>
      <c r="BI79" s="456">
        <f>F79*AP79</f>
        <v>0</v>
      </c>
      <c r="BJ79" s="456">
        <f>F79*G79</f>
        <v>0</v>
      </c>
      <c r="BK79" s="456"/>
      <c r="BL79" s="456">
        <v>16</v>
      </c>
      <c r="BW79" s="456">
        <v>21</v>
      </c>
      <c r="BX79" s="459" t="s">
        <v>748</v>
      </c>
    </row>
    <row r="80" spans="1:76" ht="13.5">
      <c r="A80" s="460"/>
      <c r="C80" s="461" t="s">
        <v>1105</v>
      </c>
      <c r="D80" s="461" t="s">
        <v>648</v>
      </c>
      <c r="F80" s="462">
        <v>106.88363</v>
      </c>
      <c r="K80" s="463"/>
    </row>
    <row r="81" spans="1:76" ht="13.5">
      <c r="A81" s="454" t="s">
        <v>769</v>
      </c>
      <c r="B81" s="455" t="s">
        <v>750</v>
      </c>
      <c r="C81" s="428" t="s">
        <v>751</v>
      </c>
      <c r="D81" s="424"/>
      <c r="E81" s="455" t="s">
        <v>687</v>
      </c>
      <c r="F81" s="456">
        <v>2030.7889700000001</v>
      </c>
      <c r="G81" s="456">
        <v>0</v>
      </c>
      <c r="H81" s="456">
        <f>F81*AO81</f>
        <v>0</v>
      </c>
      <c r="I81" s="456">
        <f>F81*AP81</f>
        <v>0</v>
      </c>
      <c r="J81" s="456">
        <f>F81*G81</f>
        <v>0</v>
      </c>
      <c r="K81" s="457" t="s">
        <v>1410</v>
      </c>
      <c r="Z81" s="456">
        <f>IF(AQ81="5",BJ81,0)</f>
        <v>0</v>
      </c>
      <c r="AB81" s="456">
        <f>IF(AQ81="1",BH81,0)</f>
        <v>0</v>
      </c>
      <c r="AC81" s="456">
        <f>IF(AQ81="1",BI81,0)</f>
        <v>0</v>
      </c>
      <c r="AD81" s="456">
        <f>IF(AQ81="7",BH81,0)</f>
        <v>0</v>
      </c>
      <c r="AE81" s="456">
        <f>IF(AQ81="7",BI81,0)</f>
        <v>0</v>
      </c>
      <c r="AF81" s="456">
        <f>IF(AQ81="2",BH81,0)</f>
        <v>0</v>
      </c>
      <c r="AG81" s="456">
        <f>IF(AQ81="2",BI81,0)</f>
        <v>0</v>
      </c>
      <c r="AH81" s="456">
        <f>IF(AQ81="0",BJ81,0)</f>
        <v>0</v>
      </c>
      <c r="AI81" s="438" t="s">
        <v>648</v>
      </c>
      <c r="AJ81" s="456">
        <f>IF(AN81=0,J81,0)</f>
        <v>0</v>
      </c>
      <c r="AK81" s="456">
        <f>IF(AN81=12,J81,0)</f>
        <v>0</v>
      </c>
      <c r="AL81" s="456">
        <f>IF(AN81=21,J81,0)</f>
        <v>0</v>
      </c>
      <c r="AN81" s="456">
        <v>21</v>
      </c>
      <c r="AO81" s="456">
        <f>G81*0</f>
        <v>0</v>
      </c>
      <c r="AP81" s="456">
        <f>G81*(1-0)</f>
        <v>0</v>
      </c>
      <c r="AQ81" s="458" t="s">
        <v>651</v>
      </c>
      <c r="AV81" s="456">
        <f>AW81+AX81</f>
        <v>0</v>
      </c>
      <c r="AW81" s="456">
        <f>F81*AO81</f>
        <v>0</v>
      </c>
      <c r="AX81" s="456">
        <f>F81*AP81</f>
        <v>0</v>
      </c>
      <c r="AY81" s="458" t="s">
        <v>726</v>
      </c>
      <c r="AZ81" s="458" t="s">
        <v>664</v>
      </c>
      <c r="BA81" s="438" t="s">
        <v>656</v>
      </c>
      <c r="BC81" s="456">
        <f>AW81+AX81</f>
        <v>0</v>
      </c>
      <c r="BD81" s="456">
        <f>G81/(100-BE81)*100</f>
        <v>0</v>
      </c>
      <c r="BE81" s="456">
        <v>0</v>
      </c>
      <c r="BF81" s="456">
        <f>81</f>
        <v>81</v>
      </c>
      <c r="BH81" s="456">
        <f>F81*AO81</f>
        <v>0</v>
      </c>
      <c r="BI81" s="456">
        <f>F81*AP81</f>
        <v>0</v>
      </c>
      <c r="BJ81" s="456">
        <f>F81*G81</f>
        <v>0</v>
      </c>
      <c r="BK81" s="456"/>
      <c r="BL81" s="456">
        <v>16</v>
      </c>
      <c r="BW81" s="456">
        <v>21</v>
      </c>
      <c r="BX81" s="459" t="s">
        <v>751</v>
      </c>
    </row>
    <row r="82" spans="1:76" ht="13.5">
      <c r="A82" s="460"/>
      <c r="C82" s="461" t="s">
        <v>1106</v>
      </c>
      <c r="D82" s="461" t="s">
        <v>648</v>
      </c>
      <c r="F82" s="462">
        <v>2030.7889700000001</v>
      </c>
      <c r="K82" s="463"/>
    </row>
    <row r="83" spans="1:76" ht="13.5">
      <c r="A83" s="448" t="s">
        <v>648</v>
      </c>
      <c r="B83" s="449" t="s">
        <v>719</v>
      </c>
      <c r="C83" s="450" t="s">
        <v>752</v>
      </c>
      <c r="D83" s="451"/>
      <c r="E83" s="452" t="s">
        <v>607</v>
      </c>
      <c r="F83" s="452" t="s">
        <v>607</v>
      </c>
      <c r="G83" s="452" t="s">
        <v>607</v>
      </c>
      <c r="H83" s="416">
        <f>SUM(H84:H102)</f>
        <v>0</v>
      </c>
      <c r="I83" s="416">
        <f>SUM(I84:I102)</f>
        <v>0</v>
      </c>
      <c r="J83" s="416">
        <f>SUM(J84:J102)</f>
        <v>0</v>
      </c>
      <c r="K83" s="453" t="s">
        <v>648</v>
      </c>
      <c r="AI83" s="438" t="s">
        <v>648</v>
      </c>
      <c r="AS83" s="416">
        <f>SUM(AJ84:AJ102)</f>
        <v>0</v>
      </c>
      <c r="AT83" s="416">
        <f>SUM(AK84:AK102)</f>
        <v>0</v>
      </c>
      <c r="AU83" s="416">
        <f>SUM(AL84:AL102)</f>
        <v>0</v>
      </c>
    </row>
    <row r="84" spans="1:76" ht="13.5">
      <c r="A84" s="454" t="s">
        <v>771</v>
      </c>
      <c r="B84" s="455" t="s">
        <v>754</v>
      </c>
      <c r="C84" s="428" t="s">
        <v>1107</v>
      </c>
      <c r="D84" s="424"/>
      <c r="E84" s="455" t="s">
        <v>687</v>
      </c>
      <c r="F84" s="456">
        <v>50.499540000000003</v>
      </c>
      <c r="G84" s="456">
        <v>0</v>
      </c>
      <c r="H84" s="456">
        <f>F84*AO84</f>
        <v>0</v>
      </c>
      <c r="I84" s="456">
        <f>F84*AP84</f>
        <v>0</v>
      </c>
      <c r="J84" s="456">
        <f>F84*G84</f>
        <v>0</v>
      </c>
      <c r="K84" s="457" t="s">
        <v>1410</v>
      </c>
      <c r="Z84" s="456">
        <f>IF(AQ84="5",BJ84,0)</f>
        <v>0</v>
      </c>
      <c r="AB84" s="456">
        <f>IF(AQ84="1",BH84,0)</f>
        <v>0</v>
      </c>
      <c r="AC84" s="456">
        <f>IF(AQ84="1",BI84,0)</f>
        <v>0</v>
      </c>
      <c r="AD84" s="456">
        <f>IF(AQ84="7",BH84,0)</f>
        <v>0</v>
      </c>
      <c r="AE84" s="456">
        <f>IF(AQ84="7",BI84,0)</f>
        <v>0</v>
      </c>
      <c r="AF84" s="456">
        <f>IF(AQ84="2",BH84,0)</f>
        <v>0</v>
      </c>
      <c r="AG84" s="456">
        <f>IF(AQ84="2",BI84,0)</f>
        <v>0</v>
      </c>
      <c r="AH84" s="456">
        <f>IF(AQ84="0",BJ84,0)</f>
        <v>0</v>
      </c>
      <c r="AI84" s="438" t="s">
        <v>648</v>
      </c>
      <c r="AJ84" s="456">
        <f>IF(AN84=0,J84,0)</f>
        <v>0</v>
      </c>
      <c r="AK84" s="456">
        <f>IF(AN84=12,J84,0)</f>
        <v>0</v>
      </c>
      <c r="AL84" s="456">
        <f>IF(AN84=21,J84,0)</f>
        <v>0</v>
      </c>
      <c r="AN84" s="456">
        <v>21</v>
      </c>
      <c r="AO84" s="456">
        <f>G84*0</f>
        <v>0</v>
      </c>
      <c r="AP84" s="456">
        <f>G84*(1-0)</f>
        <v>0</v>
      </c>
      <c r="AQ84" s="458" t="s">
        <v>651</v>
      </c>
      <c r="AV84" s="456">
        <f>AW84+AX84</f>
        <v>0</v>
      </c>
      <c r="AW84" s="456">
        <f>F84*AO84</f>
        <v>0</v>
      </c>
      <c r="AX84" s="456">
        <f>F84*AP84</f>
        <v>0</v>
      </c>
      <c r="AY84" s="458" t="s">
        <v>756</v>
      </c>
      <c r="AZ84" s="458" t="s">
        <v>664</v>
      </c>
      <c r="BA84" s="438" t="s">
        <v>656</v>
      </c>
      <c r="BC84" s="456">
        <f>AW84+AX84</f>
        <v>0</v>
      </c>
      <c r="BD84" s="456">
        <f>G84/(100-BE84)*100</f>
        <v>0</v>
      </c>
      <c r="BE84" s="456">
        <v>0</v>
      </c>
      <c r="BF84" s="456">
        <f>84</f>
        <v>84</v>
      </c>
      <c r="BH84" s="456">
        <f>F84*AO84</f>
        <v>0</v>
      </c>
      <c r="BI84" s="456">
        <f>F84*AP84</f>
        <v>0</v>
      </c>
      <c r="BJ84" s="456">
        <f>F84*G84</f>
        <v>0</v>
      </c>
      <c r="BK84" s="456"/>
      <c r="BL84" s="456">
        <v>17</v>
      </c>
      <c r="BW84" s="456">
        <v>21</v>
      </c>
      <c r="BX84" s="459" t="s">
        <v>1107</v>
      </c>
    </row>
    <row r="85" spans="1:76" ht="13.5">
      <c r="A85" s="460"/>
      <c r="C85" s="461" t="s">
        <v>1108</v>
      </c>
      <c r="D85" s="461" t="s">
        <v>648</v>
      </c>
      <c r="F85" s="462">
        <v>78.143540000000002</v>
      </c>
      <c r="K85" s="463"/>
    </row>
    <row r="86" spans="1:76" ht="13.5">
      <c r="A86" s="460"/>
      <c r="C86" s="461" t="s">
        <v>1109</v>
      </c>
      <c r="D86" s="461" t="s">
        <v>648</v>
      </c>
      <c r="F86" s="462">
        <v>-1.8134999999999999</v>
      </c>
      <c r="K86" s="463"/>
    </row>
    <row r="87" spans="1:76" ht="13.5">
      <c r="A87" s="460"/>
      <c r="C87" s="461" t="s">
        <v>1110</v>
      </c>
      <c r="D87" s="461" t="s">
        <v>648</v>
      </c>
      <c r="F87" s="462">
        <v>-1.8134999999999999</v>
      </c>
      <c r="K87" s="463"/>
    </row>
    <row r="88" spans="1:76" ht="13.5">
      <c r="A88" s="460"/>
      <c r="C88" s="461" t="s">
        <v>1111</v>
      </c>
      <c r="D88" s="461" t="s">
        <v>648</v>
      </c>
      <c r="F88" s="462">
        <v>-23.625</v>
      </c>
      <c r="K88" s="463"/>
    </row>
    <row r="89" spans="1:76" ht="13.5">
      <c r="A89" s="460"/>
      <c r="C89" s="461" t="s">
        <v>1112</v>
      </c>
      <c r="D89" s="461" t="s">
        <v>648</v>
      </c>
      <c r="F89" s="462">
        <v>-0.39200000000000002</v>
      </c>
      <c r="K89" s="463"/>
    </row>
    <row r="90" spans="1:76" ht="13.5">
      <c r="A90" s="454" t="s">
        <v>774</v>
      </c>
      <c r="B90" s="455" t="s">
        <v>762</v>
      </c>
      <c r="C90" s="428" t="s">
        <v>763</v>
      </c>
      <c r="D90" s="424"/>
      <c r="E90" s="455" t="s">
        <v>687</v>
      </c>
      <c r="F90" s="456">
        <v>58.554270000000002</v>
      </c>
      <c r="G90" s="456">
        <v>0</v>
      </c>
      <c r="H90" s="456">
        <f>F90*AO90</f>
        <v>0</v>
      </c>
      <c r="I90" s="456">
        <f>F90*AP90</f>
        <v>0</v>
      </c>
      <c r="J90" s="456">
        <f>F90*G90</f>
        <v>0</v>
      </c>
      <c r="K90" s="457" t="s">
        <v>1410</v>
      </c>
      <c r="Z90" s="456">
        <f>IF(AQ90="5",BJ90,0)</f>
        <v>0</v>
      </c>
      <c r="AB90" s="456">
        <f>IF(AQ90="1",BH90,0)</f>
        <v>0</v>
      </c>
      <c r="AC90" s="456">
        <f>IF(AQ90="1",BI90,0)</f>
        <v>0</v>
      </c>
      <c r="AD90" s="456">
        <f>IF(AQ90="7",BH90,0)</f>
        <v>0</v>
      </c>
      <c r="AE90" s="456">
        <f>IF(AQ90="7",BI90,0)</f>
        <v>0</v>
      </c>
      <c r="AF90" s="456">
        <f>IF(AQ90="2",BH90,0)</f>
        <v>0</v>
      </c>
      <c r="AG90" s="456">
        <f>IF(AQ90="2",BI90,0)</f>
        <v>0</v>
      </c>
      <c r="AH90" s="456">
        <f>IF(AQ90="0",BJ90,0)</f>
        <v>0</v>
      </c>
      <c r="AI90" s="438" t="s">
        <v>648</v>
      </c>
      <c r="AJ90" s="456">
        <f>IF(AN90=0,J90,0)</f>
        <v>0</v>
      </c>
      <c r="AK90" s="456">
        <f>IF(AN90=12,J90,0)</f>
        <v>0</v>
      </c>
      <c r="AL90" s="456">
        <f>IF(AN90=21,J90,0)</f>
        <v>0</v>
      </c>
      <c r="AN90" s="456">
        <v>21</v>
      </c>
      <c r="AO90" s="456">
        <f>G90*0.306482536</f>
        <v>0</v>
      </c>
      <c r="AP90" s="456">
        <f>G90*(1-0.306482536)</f>
        <v>0</v>
      </c>
      <c r="AQ90" s="458" t="s">
        <v>651</v>
      </c>
      <c r="AV90" s="456">
        <f>AW90+AX90</f>
        <v>0</v>
      </c>
      <c r="AW90" s="456">
        <f>F90*AO90</f>
        <v>0</v>
      </c>
      <c r="AX90" s="456">
        <f>F90*AP90</f>
        <v>0</v>
      </c>
      <c r="AY90" s="458" t="s">
        <v>756</v>
      </c>
      <c r="AZ90" s="458" t="s">
        <v>664</v>
      </c>
      <c r="BA90" s="438" t="s">
        <v>656</v>
      </c>
      <c r="BC90" s="456">
        <f>AW90+AX90</f>
        <v>0</v>
      </c>
      <c r="BD90" s="456">
        <f>G90/(100-BE90)*100</f>
        <v>0</v>
      </c>
      <c r="BE90" s="456">
        <v>0</v>
      </c>
      <c r="BF90" s="456">
        <f>90</f>
        <v>90</v>
      </c>
      <c r="BH90" s="456">
        <f>F90*AO90</f>
        <v>0</v>
      </c>
      <c r="BI90" s="456">
        <f>F90*AP90</f>
        <v>0</v>
      </c>
      <c r="BJ90" s="456">
        <f>F90*G90</f>
        <v>0</v>
      </c>
      <c r="BK90" s="456"/>
      <c r="BL90" s="456">
        <v>17</v>
      </c>
      <c r="BW90" s="456">
        <v>21</v>
      </c>
      <c r="BX90" s="459" t="s">
        <v>763</v>
      </c>
    </row>
    <row r="91" spans="1:76" ht="13.5">
      <c r="A91" s="460"/>
      <c r="C91" s="461" t="s">
        <v>1113</v>
      </c>
      <c r="D91" s="461" t="s">
        <v>648</v>
      </c>
      <c r="F91" s="462">
        <v>60.676000000000002</v>
      </c>
      <c r="K91" s="463"/>
    </row>
    <row r="92" spans="1:76" ht="13.5">
      <c r="A92" s="460"/>
      <c r="C92" s="461" t="s">
        <v>1114</v>
      </c>
      <c r="D92" s="461" t="s">
        <v>648</v>
      </c>
      <c r="F92" s="462">
        <v>-2.1217299999999999</v>
      </c>
      <c r="K92" s="463"/>
    </row>
    <row r="93" spans="1:76" ht="13.5">
      <c r="A93" s="460"/>
      <c r="C93" s="461" t="s">
        <v>1115</v>
      </c>
      <c r="D93" s="461" t="s">
        <v>648</v>
      </c>
      <c r="F93" s="462">
        <v>0</v>
      </c>
      <c r="K93" s="463"/>
    </row>
    <row r="94" spans="1:76" ht="13.5">
      <c r="A94" s="454" t="s">
        <v>776</v>
      </c>
      <c r="B94" s="455" t="s">
        <v>754</v>
      </c>
      <c r="C94" s="428" t="s">
        <v>770</v>
      </c>
      <c r="D94" s="424"/>
      <c r="E94" s="455" t="s">
        <v>687</v>
      </c>
      <c r="F94" s="456">
        <v>144.24573000000001</v>
      </c>
      <c r="G94" s="456">
        <v>0</v>
      </c>
      <c r="H94" s="456">
        <f>F94*AO94</f>
        <v>0</v>
      </c>
      <c r="I94" s="456">
        <f>F94*AP94</f>
        <v>0</v>
      </c>
      <c r="J94" s="456">
        <f>F94*G94</f>
        <v>0</v>
      </c>
      <c r="K94" s="457" t="s">
        <v>1410</v>
      </c>
      <c r="Z94" s="456">
        <f>IF(AQ94="5",BJ94,0)</f>
        <v>0</v>
      </c>
      <c r="AB94" s="456">
        <f>IF(AQ94="1",BH94,0)</f>
        <v>0</v>
      </c>
      <c r="AC94" s="456">
        <f>IF(AQ94="1",BI94,0)</f>
        <v>0</v>
      </c>
      <c r="AD94" s="456">
        <f>IF(AQ94="7",BH94,0)</f>
        <v>0</v>
      </c>
      <c r="AE94" s="456">
        <f>IF(AQ94="7",BI94,0)</f>
        <v>0</v>
      </c>
      <c r="AF94" s="456">
        <f>IF(AQ94="2",BH94,0)</f>
        <v>0</v>
      </c>
      <c r="AG94" s="456">
        <f>IF(AQ94="2",BI94,0)</f>
        <v>0</v>
      </c>
      <c r="AH94" s="456">
        <f>IF(AQ94="0",BJ94,0)</f>
        <v>0</v>
      </c>
      <c r="AI94" s="438" t="s">
        <v>648</v>
      </c>
      <c r="AJ94" s="456">
        <f>IF(AN94=0,J94,0)</f>
        <v>0</v>
      </c>
      <c r="AK94" s="456">
        <f>IF(AN94=12,J94,0)</f>
        <v>0</v>
      </c>
      <c r="AL94" s="456">
        <f>IF(AN94=21,J94,0)</f>
        <v>0</v>
      </c>
      <c r="AN94" s="456">
        <v>21</v>
      </c>
      <c r="AO94" s="456">
        <f>G94*0</f>
        <v>0</v>
      </c>
      <c r="AP94" s="456">
        <f>G94*(1-0)</f>
        <v>0</v>
      </c>
      <c r="AQ94" s="458" t="s">
        <v>651</v>
      </c>
      <c r="AV94" s="456">
        <f>AW94+AX94</f>
        <v>0</v>
      </c>
      <c r="AW94" s="456">
        <f>F94*AO94</f>
        <v>0</v>
      </c>
      <c r="AX94" s="456">
        <f>F94*AP94</f>
        <v>0</v>
      </c>
      <c r="AY94" s="458" t="s">
        <v>756</v>
      </c>
      <c r="AZ94" s="458" t="s">
        <v>664</v>
      </c>
      <c r="BA94" s="438" t="s">
        <v>656</v>
      </c>
      <c r="BC94" s="456">
        <f>AW94+AX94</f>
        <v>0</v>
      </c>
      <c r="BD94" s="456">
        <f>G94/(100-BE94)*100</f>
        <v>0</v>
      </c>
      <c r="BE94" s="456">
        <v>0</v>
      </c>
      <c r="BF94" s="456">
        <f>94</f>
        <v>94</v>
      </c>
      <c r="BH94" s="456">
        <f>F94*AO94</f>
        <v>0</v>
      </c>
      <c r="BI94" s="456">
        <f>F94*AP94</f>
        <v>0</v>
      </c>
      <c r="BJ94" s="456">
        <f>F94*G94</f>
        <v>0</v>
      </c>
      <c r="BK94" s="456"/>
      <c r="BL94" s="456">
        <v>17</v>
      </c>
      <c r="BW94" s="456">
        <v>21</v>
      </c>
      <c r="BX94" s="459" t="s">
        <v>770</v>
      </c>
    </row>
    <row r="95" spans="1:76" ht="13.5">
      <c r="A95" s="460"/>
      <c r="C95" s="461" t="s">
        <v>1424</v>
      </c>
      <c r="D95" s="461" t="s">
        <v>648</v>
      </c>
      <c r="F95" s="462">
        <v>223.48500000000001</v>
      </c>
      <c r="K95" s="463"/>
    </row>
    <row r="96" spans="1:76" ht="13.5">
      <c r="A96" s="460"/>
      <c r="C96" s="461" t="s">
        <v>1116</v>
      </c>
      <c r="D96" s="461" t="s">
        <v>648</v>
      </c>
      <c r="F96" s="462">
        <v>-20.684999999999999</v>
      </c>
      <c r="K96" s="463"/>
    </row>
    <row r="97" spans="1:76" ht="13.5">
      <c r="A97" s="460"/>
      <c r="C97" s="461" t="s">
        <v>1117</v>
      </c>
      <c r="D97" s="461" t="s">
        <v>648</v>
      </c>
      <c r="F97" s="462">
        <v>-58.554270000000002</v>
      </c>
      <c r="K97" s="463"/>
    </row>
    <row r="98" spans="1:76" ht="13.5">
      <c r="A98" s="454" t="s">
        <v>780</v>
      </c>
      <c r="B98" s="455" t="s">
        <v>772</v>
      </c>
      <c r="C98" s="428" t="s">
        <v>773</v>
      </c>
      <c r="D98" s="424"/>
      <c r="E98" s="455" t="s">
        <v>687</v>
      </c>
      <c r="F98" s="456">
        <v>194.74527</v>
      </c>
      <c r="G98" s="456">
        <v>0</v>
      </c>
      <c r="H98" s="456">
        <f>F98*AO98</f>
        <v>0</v>
      </c>
      <c r="I98" s="456">
        <f>F98*AP98</f>
        <v>0</v>
      </c>
      <c r="J98" s="456">
        <f>F98*G98</f>
        <v>0</v>
      </c>
      <c r="K98" s="457" t="s">
        <v>1410</v>
      </c>
      <c r="Z98" s="456">
        <f>IF(AQ98="5",BJ98,0)</f>
        <v>0</v>
      </c>
      <c r="AB98" s="456">
        <f>IF(AQ98="1",BH98,0)</f>
        <v>0</v>
      </c>
      <c r="AC98" s="456">
        <f>IF(AQ98="1",BI98,0)</f>
        <v>0</v>
      </c>
      <c r="AD98" s="456">
        <f>IF(AQ98="7",BH98,0)</f>
        <v>0</v>
      </c>
      <c r="AE98" s="456">
        <f>IF(AQ98="7",BI98,0)</f>
        <v>0</v>
      </c>
      <c r="AF98" s="456">
        <f>IF(AQ98="2",BH98,0)</f>
        <v>0</v>
      </c>
      <c r="AG98" s="456">
        <f>IF(AQ98="2",BI98,0)</f>
        <v>0</v>
      </c>
      <c r="AH98" s="456">
        <f>IF(AQ98="0",BJ98,0)</f>
        <v>0</v>
      </c>
      <c r="AI98" s="438" t="s">
        <v>648</v>
      </c>
      <c r="AJ98" s="456">
        <f>IF(AN98=0,J98,0)</f>
        <v>0</v>
      </c>
      <c r="AK98" s="456">
        <f>IF(AN98=12,J98,0)</f>
        <v>0</v>
      </c>
      <c r="AL98" s="456">
        <f>IF(AN98=21,J98,0)</f>
        <v>0</v>
      </c>
      <c r="AN98" s="456">
        <v>21</v>
      </c>
      <c r="AO98" s="456">
        <f>G98*0</f>
        <v>0</v>
      </c>
      <c r="AP98" s="456">
        <f>G98*(1-0)</f>
        <v>0</v>
      </c>
      <c r="AQ98" s="458" t="s">
        <v>651</v>
      </c>
      <c r="AV98" s="456">
        <f>AW98+AX98</f>
        <v>0</v>
      </c>
      <c r="AW98" s="456">
        <f>F98*AO98</f>
        <v>0</v>
      </c>
      <c r="AX98" s="456">
        <f>F98*AP98</f>
        <v>0</v>
      </c>
      <c r="AY98" s="458" t="s">
        <v>756</v>
      </c>
      <c r="AZ98" s="458" t="s">
        <v>664</v>
      </c>
      <c r="BA98" s="438" t="s">
        <v>656</v>
      </c>
      <c r="BC98" s="456">
        <f>AW98+AX98</f>
        <v>0</v>
      </c>
      <c r="BD98" s="456">
        <f>G98/(100-BE98)*100</f>
        <v>0</v>
      </c>
      <c r="BE98" s="456">
        <v>0</v>
      </c>
      <c r="BF98" s="456">
        <f>98</f>
        <v>98</v>
      </c>
      <c r="BH98" s="456">
        <f>F98*AO98</f>
        <v>0</v>
      </c>
      <c r="BI98" s="456">
        <f>F98*AP98</f>
        <v>0</v>
      </c>
      <c r="BJ98" s="456">
        <f>F98*G98</f>
        <v>0</v>
      </c>
      <c r="BK98" s="456"/>
      <c r="BL98" s="456">
        <v>17</v>
      </c>
      <c r="BW98" s="456">
        <v>21</v>
      </c>
      <c r="BX98" s="459" t="s">
        <v>773</v>
      </c>
    </row>
    <row r="99" spans="1:76" ht="13.5">
      <c r="A99" s="460"/>
      <c r="C99" s="461" t="s">
        <v>1421</v>
      </c>
      <c r="D99" s="461" t="s">
        <v>648</v>
      </c>
      <c r="F99" s="462">
        <v>194.74527</v>
      </c>
      <c r="K99" s="463"/>
    </row>
    <row r="100" spans="1:76" ht="13.5">
      <c r="A100" s="454" t="s">
        <v>786</v>
      </c>
      <c r="B100" s="455" t="s">
        <v>772</v>
      </c>
      <c r="C100" s="428" t="s">
        <v>775</v>
      </c>
      <c r="D100" s="424"/>
      <c r="E100" s="455" t="s">
        <v>687</v>
      </c>
      <c r="F100" s="456">
        <v>106.88363</v>
      </c>
      <c r="G100" s="456">
        <v>0</v>
      </c>
      <c r="H100" s="456">
        <f>F100*AO100</f>
        <v>0</v>
      </c>
      <c r="I100" s="456">
        <f>F100*AP100</f>
        <v>0</v>
      </c>
      <c r="J100" s="456">
        <f>F100*G100</f>
        <v>0</v>
      </c>
      <c r="K100" s="457" t="s">
        <v>1410</v>
      </c>
      <c r="Z100" s="456">
        <f>IF(AQ100="5",BJ100,0)</f>
        <v>0</v>
      </c>
      <c r="AB100" s="456">
        <f>IF(AQ100="1",BH100,0)</f>
        <v>0</v>
      </c>
      <c r="AC100" s="456">
        <f>IF(AQ100="1",BI100,0)</f>
        <v>0</v>
      </c>
      <c r="AD100" s="456">
        <f>IF(AQ100="7",BH100,0)</f>
        <v>0</v>
      </c>
      <c r="AE100" s="456">
        <f>IF(AQ100="7",BI100,0)</f>
        <v>0</v>
      </c>
      <c r="AF100" s="456">
        <f>IF(AQ100="2",BH100,0)</f>
        <v>0</v>
      </c>
      <c r="AG100" s="456">
        <f>IF(AQ100="2",BI100,0)</f>
        <v>0</v>
      </c>
      <c r="AH100" s="456">
        <f>IF(AQ100="0",BJ100,0)</f>
        <v>0</v>
      </c>
      <c r="AI100" s="438" t="s">
        <v>648</v>
      </c>
      <c r="AJ100" s="456">
        <f>IF(AN100=0,J100,0)</f>
        <v>0</v>
      </c>
      <c r="AK100" s="456">
        <f>IF(AN100=12,J100,0)</f>
        <v>0</v>
      </c>
      <c r="AL100" s="456">
        <f>IF(AN100=21,J100,0)</f>
        <v>0</v>
      </c>
      <c r="AN100" s="456">
        <v>21</v>
      </c>
      <c r="AO100" s="456">
        <f>G100*0</f>
        <v>0</v>
      </c>
      <c r="AP100" s="456">
        <f>G100*(1-0)</f>
        <v>0</v>
      </c>
      <c r="AQ100" s="458" t="s">
        <v>651</v>
      </c>
      <c r="AV100" s="456">
        <f>AW100+AX100</f>
        <v>0</v>
      </c>
      <c r="AW100" s="456">
        <f>F100*AO100</f>
        <v>0</v>
      </c>
      <c r="AX100" s="456">
        <f>F100*AP100</f>
        <v>0</v>
      </c>
      <c r="AY100" s="458" t="s">
        <v>756</v>
      </c>
      <c r="AZ100" s="458" t="s">
        <v>664</v>
      </c>
      <c r="BA100" s="438" t="s">
        <v>656</v>
      </c>
      <c r="BC100" s="456">
        <f>AW100+AX100</f>
        <v>0</v>
      </c>
      <c r="BD100" s="456">
        <f>G100/(100-BE100)*100</f>
        <v>0</v>
      </c>
      <c r="BE100" s="456">
        <v>0</v>
      </c>
      <c r="BF100" s="456">
        <f>100</f>
        <v>100</v>
      </c>
      <c r="BH100" s="456">
        <f>F100*AO100</f>
        <v>0</v>
      </c>
      <c r="BI100" s="456">
        <f>F100*AP100</f>
        <v>0</v>
      </c>
      <c r="BJ100" s="456">
        <f>F100*G100</f>
        <v>0</v>
      </c>
      <c r="BK100" s="456"/>
      <c r="BL100" s="456">
        <v>17</v>
      </c>
      <c r="BW100" s="456">
        <v>21</v>
      </c>
      <c r="BX100" s="459" t="s">
        <v>775</v>
      </c>
    </row>
    <row r="101" spans="1:76" ht="13.5">
      <c r="A101" s="460"/>
      <c r="C101" s="461" t="s">
        <v>1105</v>
      </c>
      <c r="D101" s="461" t="s">
        <v>648</v>
      </c>
      <c r="F101" s="462">
        <v>106.88363</v>
      </c>
      <c r="K101" s="463"/>
    </row>
    <row r="102" spans="1:76" ht="13.5">
      <c r="A102" s="454" t="s">
        <v>791</v>
      </c>
      <c r="B102" s="455" t="s">
        <v>777</v>
      </c>
      <c r="C102" s="428" t="s">
        <v>778</v>
      </c>
      <c r="D102" s="424"/>
      <c r="E102" s="455" t="s">
        <v>687</v>
      </c>
      <c r="F102" s="456">
        <v>106.88363</v>
      </c>
      <c r="G102" s="456">
        <v>0</v>
      </c>
      <c r="H102" s="456">
        <f>F102*AO102</f>
        <v>0</v>
      </c>
      <c r="I102" s="456">
        <f>F102*AP102</f>
        <v>0</v>
      </c>
      <c r="J102" s="456">
        <f>F102*G102</f>
        <v>0</v>
      </c>
      <c r="K102" s="457" t="s">
        <v>1410</v>
      </c>
      <c r="Z102" s="456">
        <f>IF(AQ102="5",BJ102,0)</f>
        <v>0</v>
      </c>
      <c r="AB102" s="456">
        <f>IF(AQ102="1",BH102,0)</f>
        <v>0</v>
      </c>
      <c r="AC102" s="456">
        <f>IF(AQ102="1",BI102,0)</f>
        <v>0</v>
      </c>
      <c r="AD102" s="456">
        <f>IF(AQ102="7",BH102,0)</f>
        <v>0</v>
      </c>
      <c r="AE102" s="456">
        <f>IF(AQ102="7",BI102,0)</f>
        <v>0</v>
      </c>
      <c r="AF102" s="456">
        <f>IF(AQ102="2",BH102,0)</f>
        <v>0</v>
      </c>
      <c r="AG102" s="456">
        <f>IF(AQ102="2",BI102,0)</f>
        <v>0</v>
      </c>
      <c r="AH102" s="456">
        <f>IF(AQ102="0",BJ102,0)</f>
        <v>0</v>
      </c>
      <c r="AI102" s="438" t="s">
        <v>648</v>
      </c>
      <c r="AJ102" s="456">
        <f>IF(AN102=0,J102,0)</f>
        <v>0</v>
      </c>
      <c r="AK102" s="456">
        <f>IF(AN102=12,J102,0)</f>
        <v>0</v>
      </c>
      <c r="AL102" s="456">
        <f>IF(AN102=21,J102,0)</f>
        <v>0</v>
      </c>
      <c r="AN102" s="456">
        <v>21</v>
      </c>
      <c r="AO102" s="456">
        <f>G102*0</f>
        <v>0</v>
      </c>
      <c r="AP102" s="456">
        <f>G102*(1-0)</f>
        <v>0</v>
      </c>
      <c r="AQ102" s="458" t="s">
        <v>651</v>
      </c>
      <c r="AV102" s="456">
        <f>AW102+AX102</f>
        <v>0</v>
      </c>
      <c r="AW102" s="456">
        <f>F102*AO102</f>
        <v>0</v>
      </c>
      <c r="AX102" s="456">
        <f>F102*AP102</f>
        <v>0</v>
      </c>
      <c r="AY102" s="458" t="s">
        <v>756</v>
      </c>
      <c r="AZ102" s="458" t="s">
        <v>664</v>
      </c>
      <c r="BA102" s="438" t="s">
        <v>656</v>
      </c>
      <c r="BC102" s="456">
        <f>AW102+AX102</f>
        <v>0</v>
      </c>
      <c r="BD102" s="456">
        <f>G102/(100-BE102)*100</f>
        <v>0</v>
      </c>
      <c r="BE102" s="456">
        <v>0</v>
      </c>
      <c r="BF102" s="456">
        <f>102</f>
        <v>102</v>
      </c>
      <c r="BH102" s="456">
        <f>F102*AO102</f>
        <v>0</v>
      </c>
      <c r="BI102" s="456">
        <f>F102*AP102</f>
        <v>0</v>
      </c>
      <c r="BJ102" s="456">
        <f>F102*G102</f>
        <v>0</v>
      </c>
      <c r="BK102" s="456"/>
      <c r="BL102" s="456">
        <v>17</v>
      </c>
      <c r="BW102" s="456">
        <v>21</v>
      </c>
      <c r="BX102" s="459" t="s">
        <v>778</v>
      </c>
    </row>
    <row r="103" spans="1:76" ht="13.5">
      <c r="A103" s="460"/>
      <c r="C103" s="461" t="s">
        <v>1118</v>
      </c>
      <c r="D103" s="461" t="s">
        <v>648</v>
      </c>
      <c r="F103" s="462">
        <v>106.88363</v>
      </c>
      <c r="K103" s="463"/>
    </row>
    <row r="104" spans="1:76" ht="13.5">
      <c r="A104" s="448" t="s">
        <v>648</v>
      </c>
      <c r="B104" s="449" t="s">
        <v>723</v>
      </c>
      <c r="C104" s="450" t="s">
        <v>1362</v>
      </c>
      <c r="D104" s="451"/>
      <c r="E104" s="452" t="s">
        <v>607</v>
      </c>
      <c r="F104" s="452" t="s">
        <v>607</v>
      </c>
      <c r="G104" s="452" t="s">
        <v>607</v>
      </c>
      <c r="H104" s="416">
        <f>SUM(H105:H105)</f>
        <v>0</v>
      </c>
      <c r="I104" s="416">
        <f>SUM(I105:I105)</f>
        <v>0</v>
      </c>
      <c r="J104" s="416">
        <f>SUM(J105:J105)</f>
        <v>0</v>
      </c>
      <c r="K104" s="453" t="s">
        <v>648</v>
      </c>
      <c r="AI104" s="438" t="s">
        <v>648</v>
      </c>
      <c r="AS104" s="416">
        <f>SUM(AJ105:AJ105)</f>
        <v>0</v>
      </c>
      <c r="AT104" s="416">
        <f>SUM(AK105:AK105)</f>
        <v>0</v>
      </c>
      <c r="AU104" s="416">
        <f>SUM(AL105:AL105)</f>
        <v>0</v>
      </c>
    </row>
    <row r="105" spans="1:76" ht="13.5">
      <c r="A105" s="454" t="s">
        <v>795</v>
      </c>
      <c r="B105" s="455" t="s">
        <v>1425</v>
      </c>
      <c r="C105" s="428" t="s">
        <v>1426</v>
      </c>
      <c r="D105" s="424"/>
      <c r="E105" s="455" t="s">
        <v>14</v>
      </c>
      <c r="F105" s="456">
        <v>4</v>
      </c>
      <c r="G105" s="456">
        <v>0</v>
      </c>
      <c r="H105" s="456">
        <f>F105*AO105</f>
        <v>0</v>
      </c>
      <c r="I105" s="456">
        <f>F105*AP105</f>
        <v>0</v>
      </c>
      <c r="J105" s="456">
        <f>F105*G105</f>
        <v>0</v>
      </c>
      <c r="K105" s="457" t="s">
        <v>648</v>
      </c>
      <c r="Z105" s="456">
        <f>IF(AQ105="5",BJ105,0)</f>
        <v>0</v>
      </c>
      <c r="AB105" s="456">
        <f>IF(AQ105="1",BH105,0)</f>
        <v>0</v>
      </c>
      <c r="AC105" s="456">
        <f>IF(AQ105="1",BI105,0)</f>
        <v>0</v>
      </c>
      <c r="AD105" s="456">
        <f>IF(AQ105="7",BH105,0)</f>
        <v>0</v>
      </c>
      <c r="AE105" s="456">
        <f>IF(AQ105="7",BI105,0)</f>
        <v>0</v>
      </c>
      <c r="AF105" s="456">
        <f>IF(AQ105="2",BH105,0)</f>
        <v>0</v>
      </c>
      <c r="AG105" s="456">
        <f>IF(AQ105="2",BI105,0)</f>
        <v>0</v>
      </c>
      <c r="AH105" s="456">
        <f>IF(AQ105="0",BJ105,0)</f>
        <v>0</v>
      </c>
      <c r="AI105" s="438" t="s">
        <v>648</v>
      </c>
      <c r="AJ105" s="456">
        <f>IF(AN105=0,J105,0)</f>
        <v>0</v>
      </c>
      <c r="AK105" s="456">
        <f>IF(AN105=12,J105,0)</f>
        <v>0</v>
      </c>
      <c r="AL105" s="456">
        <f>IF(AN105=21,J105,0)</f>
        <v>0</v>
      </c>
      <c r="AN105" s="456">
        <v>21</v>
      </c>
      <c r="AO105" s="456">
        <f>G105*0.6</f>
        <v>0</v>
      </c>
      <c r="AP105" s="456">
        <f>G105*(1-0.6)</f>
        <v>0</v>
      </c>
      <c r="AQ105" s="458" t="s">
        <v>651</v>
      </c>
      <c r="AV105" s="456">
        <f>AW105+AX105</f>
        <v>0</v>
      </c>
      <c r="AW105" s="456">
        <f>F105*AO105</f>
        <v>0</v>
      </c>
      <c r="AX105" s="456">
        <f>F105*AP105</f>
        <v>0</v>
      </c>
      <c r="AY105" s="458" t="s">
        <v>1363</v>
      </c>
      <c r="AZ105" s="458" t="s">
        <v>664</v>
      </c>
      <c r="BA105" s="438" t="s">
        <v>656</v>
      </c>
      <c r="BC105" s="456">
        <f>AW105+AX105</f>
        <v>0</v>
      </c>
      <c r="BD105" s="456">
        <f>G105/(100-BE105)*100</f>
        <v>0</v>
      </c>
      <c r="BE105" s="456">
        <v>0</v>
      </c>
      <c r="BF105" s="456">
        <f>105</f>
        <v>105</v>
      </c>
      <c r="BH105" s="456">
        <f>F105*AO105</f>
        <v>0</v>
      </c>
      <c r="BI105" s="456">
        <f>F105*AP105</f>
        <v>0</v>
      </c>
      <c r="BJ105" s="456">
        <f>F105*G105</f>
        <v>0</v>
      </c>
      <c r="BK105" s="456"/>
      <c r="BL105" s="456">
        <v>18</v>
      </c>
      <c r="BW105" s="456">
        <v>21</v>
      </c>
      <c r="BX105" s="459" t="s">
        <v>1426</v>
      </c>
    </row>
    <row r="106" spans="1:76" ht="13.5">
      <c r="A106" s="460"/>
      <c r="C106" s="461" t="s">
        <v>1427</v>
      </c>
      <c r="D106" s="461" t="s">
        <v>648</v>
      </c>
      <c r="F106" s="462">
        <v>4</v>
      </c>
      <c r="K106" s="463"/>
    </row>
    <row r="107" spans="1:76" ht="13.5">
      <c r="A107" s="460"/>
      <c r="C107" s="461" t="s">
        <v>1428</v>
      </c>
      <c r="D107" s="461" t="s">
        <v>648</v>
      </c>
      <c r="F107" s="462">
        <v>0</v>
      </c>
      <c r="K107" s="463"/>
    </row>
    <row r="108" spans="1:76" ht="13.5">
      <c r="A108" s="460"/>
      <c r="C108" s="461" t="s">
        <v>1429</v>
      </c>
      <c r="D108" s="461" t="s">
        <v>648</v>
      </c>
      <c r="F108" s="462">
        <v>0</v>
      </c>
      <c r="K108" s="463"/>
    </row>
    <row r="109" spans="1:76" ht="13.5">
      <c r="A109" s="460"/>
      <c r="C109" s="461" t="s">
        <v>1430</v>
      </c>
      <c r="D109" s="461" t="s">
        <v>648</v>
      </c>
      <c r="F109" s="462">
        <v>0</v>
      </c>
      <c r="K109" s="463"/>
    </row>
    <row r="110" spans="1:76" ht="13.5">
      <c r="A110" s="460"/>
      <c r="C110" s="461" t="s">
        <v>1431</v>
      </c>
      <c r="D110" s="461" t="s">
        <v>648</v>
      </c>
      <c r="F110" s="462">
        <v>0</v>
      </c>
      <c r="K110" s="463"/>
    </row>
    <row r="111" spans="1:76" ht="13.5">
      <c r="A111" s="460"/>
      <c r="C111" s="461" t="s">
        <v>1432</v>
      </c>
      <c r="D111" s="461" t="s">
        <v>648</v>
      </c>
      <c r="F111" s="462">
        <v>0</v>
      </c>
      <c r="K111" s="463"/>
    </row>
    <row r="112" spans="1:76" ht="13.5">
      <c r="A112" s="460"/>
      <c r="C112" s="461" t="s">
        <v>1433</v>
      </c>
      <c r="D112" s="461" t="s">
        <v>648</v>
      </c>
      <c r="F112" s="462">
        <v>0</v>
      </c>
      <c r="K112" s="463"/>
    </row>
    <row r="113" spans="1:76" ht="13.5">
      <c r="A113" s="460"/>
      <c r="C113" s="461" t="s">
        <v>1434</v>
      </c>
      <c r="D113" s="461" t="s">
        <v>648</v>
      </c>
      <c r="F113" s="462">
        <v>0</v>
      </c>
      <c r="K113" s="463"/>
    </row>
    <row r="114" spans="1:76" ht="13.5">
      <c r="A114" s="460"/>
      <c r="C114" s="461" t="s">
        <v>1435</v>
      </c>
      <c r="D114" s="461" t="s">
        <v>648</v>
      </c>
      <c r="F114" s="462">
        <v>0</v>
      </c>
      <c r="K114" s="463"/>
    </row>
    <row r="115" spans="1:76" ht="13.5">
      <c r="A115" s="460"/>
      <c r="C115" s="461" t="s">
        <v>1436</v>
      </c>
      <c r="D115" s="461" t="s">
        <v>648</v>
      </c>
      <c r="F115" s="462">
        <v>0</v>
      </c>
      <c r="K115" s="463"/>
    </row>
    <row r="116" spans="1:76" ht="13.5">
      <c r="A116" s="460"/>
      <c r="C116" s="461" t="s">
        <v>1437</v>
      </c>
      <c r="D116" s="461" t="s">
        <v>648</v>
      </c>
      <c r="F116" s="462">
        <v>0</v>
      </c>
      <c r="K116" s="463"/>
    </row>
    <row r="117" spans="1:76" ht="13.5">
      <c r="A117" s="460"/>
      <c r="C117" s="461" t="s">
        <v>1438</v>
      </c>
      <c r="D117" s="461" t="s">
        <v>648</v>
      </c>
      <c r="F117" s="462">
        <v>0</v>
      </c>
      <c r="K117" s="463"/>
    </row>
    <row r="118" spans="1:76" ht="13.5">
      <c r="A118" s="460"/>
      <c r="C118" s="461" t="s">
        <v>1439</v>
      </c>
      <c r="D118" s="461" t="s">
        <v>648</v>
      </c>
      <c r="F118" s="462">
        <v>0</v>
      </c>
      <c r="K118" s="463"/>
    </row>
    <row r="119" spans="1:76" ht="13.5">
      <c r="A119" s="460"/>
      <c r="C119" s="461" t="s">
        <v>1440</v>
      </c>
      <c r="D119" s="461" t="s">
        <v>648</v>
      </c>
      <c r="F119" s="462">
        <v>0</v>
      </c>
      <c r="K119" s="463"/>
    </row>
    <row r="120" spans="1:76" ht="13.5">
      <c r="A120" s="460"/>
      <c r="C120" s="461" t="s">
        <v>1441</v>
      </c>
      <c r="D120" s="461" t="s">
        <v>648</v>
      </c>
      <c r="F120" s="462">
        <v>0</v>
      </c>
      <c r="K120" s="463"/>
    </row>
    <row r="121" spans="1:76" ht="13.5">
      <c r="A121" s="460"/>
      <c r="C121" s="461" t="s">
        <v>1442</v>
      </c>
      <c r="D121" s="461" t="s">
        <v>648</v>
      </c>
      <c r="F121" s="462">
        <v>0</v>
      </c>
      <c r="K121" s="463"/>
    </row>
    <row r="122" spans="1:76" ht="13.5">
      <c r="A122" s="460"/>
      <c r="C122" s="461" t="s">
        <v>1443</v>
      </c>
      <c r="D122" s="461" t="s">
        <v>648</v>
      </c>
      <c r="F122" s="462">
        <v>0</v>
      </c>
      <c r="K122" s="463"/>
    </row>
    <row r="123" spans="1:76" ht="13.5">
      <c r="A123" s="460"/>
      <c r="C123" s="461" t="s">
        <v>1444</v>
      </c>
      <c r="D123" s="461" t="s">
        <v>648</v>
      </c>
      <c r="F123" s="462">
        <v>0</v>
      </c>
      <c r="K123" s="463"/>
    </row>
    <row r="124" spans="1:76" ht="13.5">
      <c r="A124" s="448" t="s">
        <v>648</v>
      </c>
      <c r="B124" s="449" t="s">
        <v>735</v>
      </c>
      <c r="C124" s="450" t="s">
        <v>779</v>
      </c>
      <c r="D124" s="451"/>
      <c r="E124" s="452" t="s">
        <v>607</v>
      </c>
      <c r="F124" s="452" t="s">
        <v>607</v>
      </c>
      <c r="G124" s="452" t="s">
        <v>607</v>
      </c>
      <c r="H124" s="416">
        <f>SUM(H125:H125)</f>
        <v>0</v>
      </c>
      <c r="I124" s="416">
        <f>SUM(I125:I125)</f>
        <v>0</v>
      </c>
      <c r="J124" s="416">
        <f>SUM(J125:J125)</f>
        <v>0</v>
      </c>
      <c r="K124" s="453" t="s">
        <v>648</v>
      </c>
      <c r="AI124" s="438" t="s">
        <v>648</v>
      </c>
      <c r="AS124" s="416">
        <f>SUM(AJ125:AJ125)</f>
        <v>0</v>
      </c>
      <c r="AT124" s="416">
        <f>SUM(AK125:AK125)</f>
        <v>0</v>
      </c>
      <c r="AU124" s="416">
        <f>SUM(AL125:AL125)</f>
        <v>0</v>
      </c>
    </row>
    <row r="125" spans="1:76" ht="13.5">
      <c r="A125" s="454" t="s">
        <v>801</v>
      </c>
      <c r="B125" s="455" t="s">
        <v>781</v>
      </c>
      <c r="C125" s="428" t="s">
        <v>782</v>
      </c>
      <c r="D125" s="424"/>
      <c r="E125" s="455" t="s">
        <v>687</v>
      </c>
      <c r="F125" s="456">
        <v>12.411</v>
      </c>
      <c r="G125" s="456">
        <v>0</v>
      </c>
      <c r="H125" s="456">
        <f>F125*AO125</f>
        <v>0</v>
      </c>
      <c r="I125" s="456">
        <f>F125*AP125</f>
        <v>0</v>
      </c>
      <c r="J125" s="456">
        <f>F125*G125</f>
        <v>0</v>
      </c>
      <c r="K125" s="457" t="s">
        <v>1410</v>
      </c>
      <c r="Z125" s="456">
        <f>IF(AQ125="5",BJ125,0)</f>
        <v>0</v>
      </c>
      <c r="AB125" s="456">
        <f>IF(AQ125="1",BH125,0)</f>
        <v>0</v>
      </c>
      <c r="AC125" s="456">
        <f>IF(AQ125="1",BI125,0)</f>
        <v>0</v>
      </c>
      <c r="AD125" s="456">
        <f>IF(AQ125="7",BH125,0)</f>
        <v>0</v>
      </c>
      <c r="AE125" s="456">
        <f>IF(AQ125="7",BI125,0)</f>
        <v>0</v>
      </c>
      <c r="AF125" s="456">
        <f>IF(AQ125="2",BH125,0)</f>
        <v>0</v>
      </c>
      <c r="AG125" s="456">
        <f>IF(AQ125="2",BI125,0)</f>
        <v>0</v>
      </c>
      <c r="AH125" s="456">
        <f>IF(AQ125="0",BJ125,0)</f>
        <v>0</v>
      </c>
      <c r="AI125" s="438" t="s">
        <v>648</v>
      </c>
      <c r="AJ125" s="456">
        <f>IF(AN125=0,J125,0)</f>
        <v>0</v>
      </c>
      <c r="AK125" s="456">
        <f>IF(AN125=12,J125,0)</f>
        <v>0</v>
      </c>
      <c r="AL125" s="456">
        <f>IF(AN125=21,J125,0)</f>
        <v>0</v>
      </c>
      <c r="AN125" s="456">
        <v>21</v>
      </c>
      <c r="AO125" s="456">
        <f>G125*0.563752896</f>
        <v>0</v>
      </c>
      <c r="AP125" s="456">
        <f>G125*(1-0.563752896)</f>
        <v>0</v>
      </c>
      <c r="AQ125" s="458" t="s">
        <v>651</v>
      </c>
      <c r="AV125" s="456">
        <f>AW125+AX125</f>
        <v>0</v>
      </c>
      <c r="AW125" s="456">
        <f>F125*AO125</f>
        <v>0</v>
      </c>
      <c r="AX125" s="456">
        <f>F125*AP125</f>
        <v>0</v>
      </c>
      <c r="AY125" s="458" t="s">
        <v>783</v>
      </c>
      <c r="AZ125" s="458" t="s">
        <v>784</v>
      </c>
      <c r="BA125" s="438" t="s">
        <v>656</v>
      </c>
      <c r="BC125" s="456">
        <f>AW125+AX125</f>
        <v>0</v>
      </c>
      <c r="BD125" s="456">
        <f>G125/(100-BE125)*100</f>
        <v>0</v>
      </c>
      <c r="BE125" s="456">
        <v>0</v>
      </c>
      <c r="BF125" s="456">
        <f>125</f>
        <v>125</v>
      </c>
      <c r="BH125" s="456">
        <f>F125*AO125</f>
        <v>0</v>
      </c>
      <c r="BI125" s="456">
        <f>F125*AP125</f>
        <v>0</v>
      </c>
      <c r="BJ125" s="456">
        <f>F125*G125</f>
        <v>0</v>
      </c>
      <c r="BK125" s="456"/>
      <c r="BL125" s="456">
        <v>21</v>
      </c>
      <c r="BW125" s="456">
        <v>21</v>
      </c>
      <c r="BX125" s="459" t="s">
        <v>782</v>
      </c>
    </row>
    <row r="126" spans="1:76" ht="13.5">
      <c r="A126" s="460"/>
      <c r="C126" s="461" t="s">
        <v>1119</v>
      </c>
      <c r="D126" s="461" t="s">
        <v>648</v>
      </c>
      <c r="F126" s="462">
        <v>12.411</v>
      </c>
      <c r="K126" s="463"/>
    </row>
    <row r="127" spans="1:76" ht="13.5">
      <c r="A127" s="448" t="s">
        <v>648</v>
      </c>
      <c r="B127" s="449" t="s">
        <v>753</v>
      </c>
      <c r="C127" s="450" t="s">
        <v>785</v>
      </c>
      <c r="D127" s="451"/>
      <c r="E127" s="452" t="s">
        <v>607</v>
      </c>
      <c r="F127" s="452" t="s">
        <v>607</v>
      </c>
      <c r="G127" s="452" t="s">
        <v>607</v>
      </c>
      <c r="H127" s="416">
        <f>SUM(H128:H134)</f>
        <v>0</v>
      </c>
      <c r="I127" s="416">
        <f>SUM(I128:I134)</f>
        <v>0</v>
      </c>
      <c r="J127" s="416">
        <f>SUM(J128:J134)</f>
        <v>0</v>
      </c>
      <c r="K127" s="453" t="s">
        <v>648</v>
      </c>
      <c r="AI127" s="438" t="s">
        <v>648</v>
      </c>
      <c r="AS127" s="416">
        <f>SUM(AJ128:AJ134)</f>
        <v>0</v>
      </c>
      <c r="AT127" s="416">
        <f>SUM(AK128:AK134)</f>
        <v>0</v>
      </c>
      <c r="AU127" s="416">
        <f>SUM(AL128:AL134)</f>
        <v>0</v>
      </c>
    </row>
    <row r="128" spans="1:76" ht="13.5">
      <c r="A128" s="454" t="s">
        <v>811</v>
      </c>
      <c r="B128" s="455" t="s">
        <v>1120</v>
      </c>
      <c r="C128" s="428" t="s">
        <v>1121</v>
      </c>
      <c r="D128" s="424"/>
      <c r="E128" s="455" t="s">
        <v>687</v>
      </c>
      <c r="F128" s="456">
        <v>1.8134999999999999</v>
      </c>
      <c r="G128" s="456">
        <v>0</v>
      </c>
      <c r="H128" s="456">
        <f>F128*AO128</f>
        <v>0</v>
      </c>
      <c r="I128" s="456">
        <f>F128*AP128</f>
        <v>0</v>
      </c>
      <c r="J128" s="456">
        <f>F128*G128</f>
        <v>0</v>
      </c>
      <c r="K128" s="457" t="s">
        <v>1410</v>
      </c>
      <c r="Z128" s="456">
        <f>IF(AQ128="5",BJ128,0)</f>
        <v>0</v>
      </c>
      <c r="AB128" s="456">
        <f>IF(AQ128="1",BH128,0)</f>
        <v>0</v>
      </c>
      <c r="AC128" s="456">
        <f>IF(AQ128="1",BI128,0)</f>
        <v>0</v>
      </c>
      <c r="AD128" s="456">
        <f>IF(AQ128="7",BH128,0)</f>
        <v>0</v>
      </c>
      <c r="AE128" s="456">
        <f>IF(AQ128="7",BI128,0)</f>
        <v>0</v>
      </c>
      <c r="AF128" s="456">
        <f>IF(AQ128="2",BH128,0)</f>
        <v>0</v>
      </c>
      <c r="AG128" s="456">
        <f>IF(AQ128="2",BI128,0)</f>
        <v>0</v>
      </c>
      <c r="AH128" s="456">
        <f>IF(AQ128="0",BJ128,0)</f>
        <v>0</v>
      </c>
      <c r="AI128" s="438" t="s">
        <v>648</v>
      </c>
      <c r="AJ128" s="456">
        <f>IF(AN128=0,J128,0)</f>
        <v>0</v>
      </c>
      <c r="AK128" s="456">
        <f>IF(AN128=12,J128,0)</f>
        <v>0</v>
      </c>
      <c r="AL128" s="456">
        <f>IF(AN128=21,J128,0)</f>
        <v>0</v>
      </c>
      <c r="AN128" s="456">
        <v>21</v>
      </c>
      <c r="AO128" s="456">
        <f>G128*0.907505618</f>
        <v>0</v>
      </c>
      <c r="AP128" s="456">
        <f>G128*(1-0.907505618)</f>
        <v>0</v>
      </c>
      <c r="AQ128" s="458" t="s">
        <v>651</v>
      </c>
      <c r="AV128" s="456">
        <f>AW128+AX128</f>
        <v>0</v>
      </c>
      <c r="AW128" s="456">
        <f>F128*AO128</f>
        <v>0</v>
      </c>
      <c r="AX128" s="456">
        <f>F128*AP128</f>
        <v>0</v>
      </c>
      <c r="AY128" s="458" t="s">
        <v>789</v>
      </c>
      <c r="AZ128" s="458" t="s">
        <v>784</v>
      </c>
      <c r="BA128" s="438" t="s">
        <v>656</v>
      </c>
      <c r="BC128" s="456">
        <f>AW128+AX128</f>
        <v>0</v>
      </c>
      <c r="BD128" s="456">
        <f>G128/(100-BE128)*100</f>
        <v>0</v>
      </c>
      <c r="BE128" s="456">
        <v>0</v>
      </c>
      <c r="BF128" s="456">
        <f>128</f>
        <v>128</v>
      </c>
      <c r="BH128" s="456">
        <f>F128*AO128</f>
        <v>0</v>
      </c>
      <c r="BI128" s="456">
        <f>F128*AP128</f>
        <v>0</v>
      </c>
      <c r="BJ128" s="456">
        <f>F128*G128</f>
        <v>0</v>
      </c>
      <c r="BK128" s="456"/>
      <c r="BL128" s="456">
        <v>27</v>
      </c>
      <c r="BW128" s="456">
        <v>21</v>
      </c>
      <c r="BX128" s="459" t="s">
        <v>1121</v>
      </c>
    </row>
    <row r="129" spans="1:76" ht="13.5">
      <c r="A129" s="460"/>
      <c r="C129" s="461" t="s">
        <v>1122</v>
      </c>
      <c r="D129" s="461" t="s">
        <v>648</v>
      </c>
      <c r="F129" s="462">
        <v>1.8134999999999999</v>
      </c>
      <c r="K129" s="463"/>
    </row>
    <row r="130" spans="1:76" ht="13.5">
      <c r="A130" s="454" t="s">
        <v>817</v>
      </c>
      <c r="B130" s="455" t="s">
        <v>792</v>
      </c>
      <c r="C130" s="428" t="s">
        <v>793</v>
      </c>
      <c r="D130" s="424"/>
      <c r="E130" s="455" t="s">
        <v>40</v>
      </c>
      <c r="F130" s="456">
        <v>2.1</v>
      </c>
      <c r="G130" s="456">
        <v>0</v>
      </c>
      <c r="H130" s="456">
        <f>F130*AO130</f>
        <v>0</v>
      </c>
      <c r="I130" s="456">
        <f>F130*AP130</f>
        <v>0</v>
      </c>
      <c r="J130" s="456">
        <f>F130*G130</f>
        <v>0</v>
      </c>
      <c r="K130" s="457" t="s">
        <v>1410</v>
      </c>
      <c r="Z130" s="456">
        <f>IF(AQ130="5",BJ130,0)</f>
        <v>0</v>
      </c>
      <c r="AB130" s="456">
        <f>IF(AQ130="1",BH130,0)</f>
        <v>0</v>
      </c>
      <c r="AC130" s="456">
        <f>IF(AQ130="1",BI130,0)</f>
        <v>0</v>
      </c>
      <c r="AD130" s="456">
        <f>IF(AQ130="7",BH130,0)</f>
        <v>0</v>
      </c>
      <c r="AE130" s="456">
        <f>IF(AQ130="7",BI130,0)</f>
        <v>0</v>
      </c>
      <c r="AF130" s="456">
        <f>IF(AQ130="2",BH130,0)</f>
        <v>0</v>
      </c>
      <c r="AG130" s="456">
        <f>IF(AQ130="2",BI130,0)</f>
        <v>0</v>
      </c>
      <c r="AH130" s="456">
        <f>IF(AQ130="0",BJ130,0)</f>
        <v>0</v>
      </c>
      <c r="AI130" s="438" t="s">
        <v>648</v>
      </c>
      <c r="AJ130" s="456">
        <f>IF(AN130=0,J130,0)</f>
        <v>0</v>
      </c>
      <c r="AK130" s="456">
        <f>IF(AN130=12,J130,0)</f>
        <v>0</v>
      </c>
      <c r="AL130" s="456">
        <f>IF(AN130=21,J130,0)</f>
        <v>0</v>
      </c>
      <c r="AN130" s="456">
        <v>21</v>
      </c>
      <c r="AO130" s="456">
        <f>G130*0.247665307</f>
        <v>0</v>
      </c>
      <c r="AP130" s="456">
        <f>G130*(1-0.247665307)</f>
        <v>0</v>
      </c>
      <c r="AQ130" s="458" t="s">
        <v>651</v>
      </c>
      <c r="AV130" s="456">
        <f>AW130+AX130</f>
        <v>0</v>
      </c>
      <c r="AW130" s="456">
        <f>F130*AO130</f>
        <v>0</v>
      </c>
      <c r="AX130" s="456">
        <f>F130*AP130</f>
        <v>0</v>
      </c>
      <c r="AY130" s="458" t="s">
        <v>789</v>
      </c>
      <c r="AZ130" s="458" t="s">
        <v>784</v>
      </c>
      <c r="BA130" s="438" t="s">
        <v>656</v>
      </c>
      <c r="BC130" s="456">
        <f>AW130+AX130</f>
        <v>0</v>
      </c>
      <c r="BD130" s="456">
        <f>G130/(100-BE130)*100</f>
        <v>0</v>
      </c>
      <c r="BE130" s="456">
        <v>0</v>
      </c>
      <c r="BF130" s="456">
        <f>130</f>
        <v>130</v>
      </c>
      <c r="BH130" s="456">
        <f>F130*AO130</f>
        <v>0</v>
      </c>
      <c r="BI130" s="456">
        <f>F130*AP130</f>
        <v>0</v>
      </c>
      <c r="BJ130" s="456">
        <f>F130*G130</f>
        <v>0</v>
      </c>
      <c r="BK130" s="456"/>
      <c r="BL130" s="456">
        <v>27</v>
      </c>
      <c r="BW130" s="456">
        <v>21</v>
      </c>
      <c r="BX130" s="459" t="s">
        <v>793</v>
      </c>
    </row>
    <row r="131" spans="1:76" ht="13.5">
      <c r="A131" s="460"/>
      <c r="C131" s="461" t="s">
        <v>1123</v>
      </c>
      <c r="D131" s="461" t="s">
        <v>648</v>
      </c>
      <c r="F131" s="462">
        <v>2.1</v>
      </c>
      <c r="K131" s="463"/>
    </row>
    <row r="132" spans="1:76" ht="13.5">
      <c r="A132" s="454" t="s">
        <v>822</v>
      </c>
      <c r="B132" s="455" t="s">
        <v>796</v>
      </c>
      <c r="C132" s="428" t="s">
        <v>797</v>
      </c>
      <c r="D132" s="424"/>
      <c r="E132" s="455" t="s">
        <v>40</v>
      </c>
      <c r="F132" s="456">
        <v>2.1</v>
      </c>
      <c r="G132" s="456">
        <v>0</v>
      </c>
      <c r="H132" s="456">
        <f>F132*AO132</f>
        <v>0</v>
      </c>
      <c r="I132" s="456">
        <f>F132*AP132</f>
        <v>0</v>
      </c>
      <c r="J132" s="456">
        <f>F132*G132</f>
        <v>0</v>
      </c>
      <c r="K132" s="457" t="s">
        <v>1410</v>
      </c>
      <c r="Z132" s="456">
        <f>IF(AQ132="5",BJ132,0)</f>
        <v>0</v>
      </c>
      <c r="AB132" s="456">
        <f>IF(AQ132="1",BH132,0)</f>
        <v>0</v>
      </c>
      <c r="AC132" s="456">
        <f>IF(AQ132="1",BI132,0)</f>
        <v>0</v>
      </c>
      <c r="AD132" s="456">
        <f>IF(AQ132="7",BH132,0)</f>
        <v>0</v>
      </c>
      <c r="AE132" s="456">
        <f>IF(AQ132="7",BI132,0)</f>
        <v>0</v>
      </c>
      <c r="AF132" s="456">
        <f>IF(AQ132="2",BH132,0)</f>
        <v>0</v>
      </c>
      <c r="AG132" s="456">
        <f>IF(AQ132="2",BI132,0)</f>
        <v>0</v>
      </c>
      <c r="AH132" s="456">
        <f>IF(AQ132="0",BJ132,0)</f>
        <v>0</v>
      </c>
      <c r="AI132" s="438" t="s">
        <v>648</v>
      </c>
      <c r="AJ132" s="456">
        <f>IF(AN132=0,J132,0)</f>
        <v>0</v>
      </c>
      <c r="AK132" s="456">
        <f>IF(AN132=12,J132,0)</f>
        <v>0</v>
      </c>
      <c r="AL132" s="456">
        <f>IF(AN132=21,J132,0)</f>
        <v>0</v>
      </c>
      <c r="AN132" s="456">
        <v>21</v>
      </c>
      <c r="AO132" s="456">
        <f>G132*0</f>
        <v>0</v>
      </c>
      <c r="AP132" s="456">
        <f>G132*(1-0)</f>
        <v>0</v>
      </c>
      <c r="AQ132" s="458" t="s">
        <v>651</v>
      </c>
      <c r="AV132" s="456">
        <f>AW132+AX132</f>
        <v>0</v>
      </c>
      <c r="AW132" s="456">
        <f>F132*AO132</f>
        <v>0</v>
      </c>
      <c r="AX132" s="456">
        <f>F132*AP132</f>
        <v>0</v>
      </c>
      <c r="AY132" s="458" t="s">
        <v>789</v>
      </c>
      <c r="AZ132" s="458" t="s">
        <v>784</v>
      </c>
      <c r="BA132" s="438" t="s">
        <v>656</v>
      </c>
      <c r="BC132" s="456">
        <f>AW132+AX132</f>
        <v>0</v>
      </c>
      <c r="BD132" s="456">
        <f>G132/(100-BE132)*100</f>
        <v>0</v>
      </c>
      <c r="BE132" s="456">
        <v>0</v>
      </c>
      <c r="BF132" s="456">
        <f>132</f>
        <v>132</v>
      </c>
      <c r="BH132" s="456">
        <f>F132*AO132</f>
        <v>0</v>
      </c>
      <c r="BI132" s="456">
        <f>F132*AP132</f>
        <v>0</v>
      </c>
      <c r="BJ132" s="456">
        <f>F132*G132</f>
        <v>0</v>
      </c>
      <c r="BK132" s="456"/>
      <c r="BL132" s="456">
        <v>27</v>
      </c>
      <c r="BW132" s="456">
        <v>21</v>
      </c>
      <c r="BX132" s="459" t="s">
        <v>797</v>
      </c>
    </row>
    <row r="133" spans="1:76" ht="13.5">
      <c r="A133" s="460"/>
      <c r="C133" s="461" t="s">
        <v>1124</v>
      </c>
      <c r="D133" s="461" t="s">
        <v>648</v>
      </c>
      <c r="F133" s="462">
        <v>2.1</v>
      </c>
      <c r="K133" s="463"/>
    </row>
    <row r="134" spans="1:76" ht="13.5">
      <c r="A134" s="454" t="s">
        <v>826</v>
      </c>
      <c r="B134" s="455" t="s">
        <v>1125</v>
      </c>
      <c r="C134" s="428" t="s">
        <v>1126</v>
      </c>
      <c r="D134" s="424"/>
      <c r="E134" s="455" t="s">
        <v>10</v>
      </c>
      <c r="F134" s="456">
        <v>9.672E-2</v>
      </c>
      <c r="G134" s="456">
        <v>0</v>
      </c>
      <c r="H134" s="456">
        <f>F134*AO134</f>
        <v>0</v>
      </c>
      <c r="I134" s="456">
        <f>F134*AP134</f>
        <v>0</v>
      </c>
      <c r="J134" s="456">
        <f>F134*G134</f>
        <v>0</v>
      </c>
      <c r="K134" s="457" t="s">
        <v>1410</v>
      </c>
      <c r="Z134" s="456">
        <f>IF(AQ134="5",BJ134,0)</f>
        <v>0</v>
      </c>
      <c r="AB134" s="456">
        <f>IF(AQ134="1",BH134,0)</f>
        <v>0</v>
      </c>
      <c r="AC134" s="456">
        <f>IF(AQ134="1",BI134,0)</f>
        <v>0</v>
      </c>
      <c r="AD134" s="456">
        <f>IF(AQ134="7",BH134,0)</f>
        <v>0</v>
      </c>
      <c r="AE134" s="456">
        <f>IF(AQ134="7",BI134,0)</f>
        <v>0</v>
      </c>
      <c r="AF134" s="456">
        <f>IF(AQ134="2",BH134,0)</f>
        <v>0</v>
      </c>
      <c r="AG134" s="456">
        <f>IF(AQ134="2",BI134,0)</f>
        <v>0</v>
      </c>
      <c r="AH134" s="456">
        <f>IF(AQ134="0",BJ134,0)</f>
        <v>0</v>
      </c>
      <c r="AI134" s="438" t="s">
        <v>648</v>
      </c>
      <c r="AJ134" s="456">
        <f>IF(AN134=0,J134,0)</f>
        <v>0</v>
      </c>
      <c r="AK134" s="456">
        <f>IF(AN134=12,J134,0)</f>
        <v>0</v>
      </c>
      <c r="AL134" s="456">
        <f>IF(AN134=21,J134,0)</f>
        <v>0</v>
      </c>
      <c r="AN134" s="456">
        <v>21</v>
      </c>
      <c r="AO134" s="456">
        <f>G134*0.779307157</f>
        <v>0</v>
      </c>
      <c r="AP134" s="456">
        <f>G134*(1-0.779307157)</f>
        <v>0</v>
      </c>
      <c r="AQ134" s="458" t="s">
        <v>651</v>
      </c>
      <c r="AV134" s="456">
        <f>AW134+AX134</f>
        <v>0</v>
      </c>
      <c r="AW134" s="456">
        <f>F134*AO134</f>
        <v>0</v>
      </c>
      <c r="AX134" s="456">
        <f>F134*AP134</f>
        <v>0</v>
      </c>
      <c r="AY134" s="458" t="s">
        <v>789</v>
      </c>
      <c r="AZ134" s="458" t="s">
        <v>784</v>
      </c>
      <c r="BA134" s="438" t="s">
        <v>656</v>
      </c>
      <c r="BC134" s="456">
        <f>AW134+AX134</f>
        <v>0</v>
      </c>
      <c r="BD134" s="456">
        <f>G134/(100-BE134)*100</f>
        <v>0</v>
      </c>
      <c r="BE134" s="456">
        <v>0</v>
      </c>
      <c r="BF134" s="456">
        <f>134</f>
        <v>134</v>
      </c>
      <c r="BH134" s="456">
        <f>F134*AO134</f>
        <v>0</v>
      </c>
      <c r="BI134" s="456">
        <f>F134*AP134</f>
        <v>0</v>
      </c>
      <c r="BJ134" s="456">
        <f>F134*G134</f>
        <v>0</v>
      </c>
      <c r="BK134" s="456"/>
      <c r="BL134" s="456">
        <v>27</v>
      </c>
      <c r="BW134" s="456">
        <v>21</v>
      </c>
      <c r="BX134" s="459" t="s">
        <v>1126</v>
      </c>
    </row>
    <row r="135" spans="1:76" ht="13.5">
      <c r="A135" s="460"/>
      <c r="C135" s="461" t="s">
        <v>1127</v>
      </c>
      <c r="D135" s="461" t="s">
        <v>648</v>
      </c>
      <c r="F135" s="462">
        <v>9.672E-2</v>
      </c>
      <c r="K135" s="463"/>
    </row>
    <row r="136" spans="1:76" ht="13.5">
      <c r="A136" s="448" t="s">
        <v>648</v>
      </c>
      <c r="B136" s="449" t="s">
        <v>799</v>
      </c>
      <c r="C136" s="450" t="s">
        <v>800</v>
      </c>
      <c r="D136" s="451"/>
      <c r="E136" s="452" t="s">
        <v>607</v>
      </c>
      <c r="F136" s="452" t="s">
        <v>607</v>
      </c>
      <c r="G136" s="452" t="s">
        <v>607</v>
      </c>
      <c r="H136" s="416">
        <f>SUM(H137:H139)</f>
        <v>0</v>
      </c>
      <c r="I136" s="416">
        <f>SUM(I137:I139)</f>
        <v>0</v>
      </c>
      <c r="J136" s="416">
        <f>SUM(J137:J139)</f>
        <v>0</v>
      </c>
      <c r="K136" s="453" t="s">
        <v>648</v>
      </c>
      <c r="AI136" s="438" t="s">
        <v>648</v>
      </c>
      <c r="AS136" s="416">
        <f>SUM(AJ137:AJ139)</f>
        <v>0</v>
      </c>
      <c r="AT136" s="416">
        <f>SUM(AK137:AK139)</f>
        <v>0</v>
      </c>
      <c r="AU136" s="416">
        <f>SUM(AL137:AL139)</f>
        <v>0</v>
      </c>
    </row>
    <row r="137" spans="1:76" ht="13.5">
      <c r="A137" s="454" t="s">
        <v>829</v>
      </c>
      <c r="B137" s="455" t="s">
        <v>802</v>
      </c>
      <c r="C137" s="428" t="s">
        <v>1128</v>
      </c>
      <c r="D137" s="424"/>
      <c r="E137" s="455" t="s">
        <v>14</v>
      </c>
      <c r="F137" s="456">
        <v>1</v>
      </c>
      <c r="G137" s="456">
        <v>0</v>
      </c>
      <c r="H137" s="456">
        <f>F137*AO137</f>
        <v>0</v>
      </c>
      <c r="I137" s="456">
        <f>F137*AP137</f>
        <v>0</v>
      </c>
      <c r="J137" s="456">
        <f>F137*G137</f>
        <v>0</v>
      </c>
      <c r="K137" s="457" t="s">
        <v>648</v>
      </c>
      <c r="Z137" s="456">
        <f>IF(AQ137="5",BJ137,0)</f>
        <v>0</v>
      </c>
      <c r="AB137" s="456">
        <f>IF(AQ137="1",BH137,0)</f>
        <v>0</v>
      </c>
      <c r="AC137" s="456">
        <f>IF(AQ137="1",BI137,0)</f>
        <v>0</v>
      </c>
      <c r="AD137" s="456">
        <f>IF(AQ137="7",BH137,0)</f>
        <v>0</v>
      </c>
      <c r="AE137" s="456">
        <f>IF(AQ137="7",BI137,0)</f>
        <v>0</v>
      </c>
      <c r="AF137" s="456">
        <f>IF(AQ137="2",BH137,0)</f>
        <v>0</v>
      </c>
      <c r="AG137" s="456">
        <f>IF(AQ137="2",BI137,0)</f>
        <v>0</v>
      </c>
      <c r="AH137" s="456">
        <f>IF(AQ137="0",BJ137,0)</f>
        <v>0</v>
      </c>
      <c r="AI137" s="438" t="s">
        <v>648</v>
      </c>
      <c r="AJ137" s="456">
        <f>IF(AN137=0,J137,0)</f>
        <v>0</v>
      </c>
      <c r="AK137" s="456">
        <f>IF(AN137=12,J137,0)</f>
        <v>0</v>
      </c>
      <c r="AL137" s="456">
        <f>IF(AN137=21,J137,0)</f>
        <v>0</v>
      </c>
      <c r="AN137" s="456">
        <v>21</v>
      </c>
      <c r="AO137" s="456">
        <f>G137*0.333333333</f>
        <v>0</v>
      </c>
      <c r="AP137" s="456">
        <f>G137*(1-0.333333333)</f>
        <v>0</v>
      </c>
      <c r="AQ137" s="458" t="s">
        <v>651</v>
      </c>
      <c r="AV137" s="456">
        <f>AW137+AX137</f>
        <v>0</v>
      </c>
      <c r="AW137" s="456">
        <f>F137*AO137</f>
        <v>0</v>
      </c>
      <c r="AX137" s="456">
        <f>F137*AP137</f>
        <v>0</v>
      </c>
      <c r="AY137" s="458" t="s">
        <v>804</v>
      </c>
      <c r="AZ137" s="458" t="s">
        <v>805</v>
      </c>
      <c r="BA137" s="438" t="s">
        <v>656</v>
      </c>
      <c r="BC137" s="456">
        <f>AW137+AX137</f>
        <v>0</v>
      </c>
      <c r="BD137" s="456">
        <f>G137/(100-BE137)*100</f>
        <v>0</v>
      </c>
      <c r="BE137" s="456">
        <v>0</v>
      </c>
      <c r="BF137" s="456">
        <f>137</f>
        <v>137</v>
      </c>
      <c r="BH137" s="456">
        <f>F137*AO137</f>
        <v>0</v>
      </c>
      <c r="BI137" s="456">
        <f>F137*AP137</f>
        <v>0</v>
      </c>
      <c r="BJ137" s="456">
        <f>F137*G137</f>
        <v>0</v>
      </c>
      <c r="BK137" s="456"/>
      <c r="BL137" s="456">
        <v>343</v>
      </c>
      <c r="BW137" s="456">
        <v>21</v>
      </c>
      <c r="BX137" s="459" t="s">
        <v>1128</v>
      </c>
    </row>
    <row r="138" spans="1:76" ht="13.5">
      <c r="A138" s="460"/>
      <c r="C138" s="461" t="s">
        <v>1129</v>
      </c>
      <c r="D138" s="461" t="s">
        <v>648</v>
      </c>
      <c r="F138" s="462">
        <v>1</v>
      </c>
      <c r="K138" s="463"/>
    </row>
    <row r="139" spans="1:76" ht="13.5">
      <c r="A139" s="454" t="s">
        <v>832</v>
      </c>
      <c r="B139" s="455" t="s">
        <v>1130</v>
      </c>
      <c r="C139" s="428" t="s">
        <v>1131</v>
      </c>
      <c r="D139" s="424"/>
      <c r="E139" s="455" t="s">
        <v>14</v>
      </c>
      <c r="F139" s="456">
        <v>3</v>
      </c>
      <c r="G139" s="456">
        <v>0</v>
      </c>
      <c r="H139" s="456">
        <f>F139*AO139</f>
        <v>0</v>
      </c>
      <c r="I139" s="456">
        <f>F139*AP139</f>
        <v>0</v>
      </c>
      <c r="J139" s="456">
        <f>F139*G139</f>
        <v>0</v>
      </c>
      <c r="K139" s="457" t="s">
        <v>648</v>
      </c>
      <c r="Z139" s="456">
        <f>IF(AQ139="5",BJ139,0)</f>
        <v>0</v>
      </c>
      <c r="AB139" s="456">
        <f>IF(AQ139="1",BH139,0)</f>
        <v>0</v>
      </c>
      <c r="AC139" s="456">
        <f>IF(AQ139="1",BI139,0)</f>
        <v>0</v>
      </c>
      <c r="AD139" s="456">
        <f>IF(AQ139="7",BH139,0)</f>
        <v>0</v>
      </c>
      <c r="AE139" s="456">
        <f>IF(AQ139="7",BI139,0)</f>
        <v>0</v>
      </c>
      <c r="AF139" s="456">
        <f>IF(AQ139="2",BH139,0)</f>
        <v>0</v>
      </c>
      <c r="AG139" s="456">
        <f>IF(AQ139="2",BI139,0)</f>
        <v>0</v>
      </c>
      <c r="AH139" s="456">
        <f>IF(AQ139="0",BJ139,0)</f>
        <v>0</v>
      </c>
      <c r="AI139" s="438" t="s">
        <v>648</v>
      </c>
      <c r="AJ139" s="456">
        <f>IF(AN139=0,J139,0)</f>
        <v>0</v>
      </c>
      <c r="AK139" s="456">
        <f>IF(AN139=12,J139,0)</f>
        <v>0</v>
      </c>
      <c r="AL139" s="456">
        <f>IF(AN139=21,J139,0)</f>
        <v>0</v>
      </c>
      <c r="AN139" s="456">
        <v>21</v>
      </c>
      <c r="AO139" s="456">
        <f>G139*0.666666667</f>
        <v>0</v>
      </c>
      <c r="AP139" s="456">
        <f>G139*(1-0.666666667)</f>
        <v>0</v>
      </c>
      <c r="AQ139" s="458" t="s">
        <v>651</v>
      </c>
      <c r="AV139" s="456">
        <f>AW139+AX139</f>
        <v>0</v>
      </c>
      <c r="AW139" s="456">
        <f>F139*AO139</f>
        <v>0</v>
      </c>
      <c r="AX139" s="456">
        <f>F139*AP139</f>
        <v>0</v>
      </c>
      <c r="AY139" s="458" t="s">
        <v>804</v>
      </c>
      <c r="AZ139" s="458" t="s">
        <v>805</v>
      </c>
      <c r="BA139" s="438" t="s">
        <v>656</v>
      </c>
      <c r="BC139" s="456">
        <f>AW139+AX139</f>
        <v>0</v>
      </c>
      <c r="BD139" s="456">
        <f>G139/(100-BE139)*100</f>
        <v>0</v>
      </c>
      <c r="BE139" s="456">
        <v>0</v>
      </c>
      <c r="BF139" s="456">
        <f>139</f>
        <v>139</v>
      </c>
      <c r="BH139" s="456">
        <f>F139*AO139</f>
        <v>0</v>
      </c>
      <c r="BI139" s="456">
        <f>F139*AP139</f>
        <v>0</v>
      </c>
      <c r="BJ139" s="456">
        <f>F139*G139</f>
        <v>0</v>
      </c>
      <c r="BK139" s="456"/>
      <c r="BL139" s="456">
        <v>343</v>
      </c>
      <c r="BW139" s="456">
        <v>21</v>
      </c>
      <c r="BX139" s="459" t="s">
        <v>1131</v>
      </c>
    </row>
    <row r="140" spans="1:76" ht="13.5">
      <c r="A140" s="460"/>
      <c r="C140" s="461" t="s">
        <v>1132</v>
      </c>
      <c r="D140" s="461" t="s">
        <v>648</v>
      </c>
      <c r="F140" s="462">
        <v>3</v>
      </c>
      <c r="K140" s="463"/>
    </row>
    <row r="141" spans="1:76" ht="13.5">
      <c r="A141" s="448" t="s">
        <v>648</v>
      </c>
      <c r="B141" s="449" t="s">
        <v>809</v>
      </c>
      <c r="C141" s="450" t="s">
        <v>810</v>
      </c>
      <c r="D141" s="451"/>
      <c r="E141" s="452" t="s">
        <v>607</v>
      </c>
      <c r="F141" s="452" t="s">
        <v>607</v>
      </c>
      <c r="G141" s="452" t="s">
        <v>607</v>
      </c>
      <c r="H141" s="416">
        <f>SUM(H142:H144)</f>
        <v>0</v>
      </c>
      <c r="I141" s="416">
        <f>SUM(I142:I144)</f>
        <v>0</v>
      </c>
      <c r="J141" s="416">
        <f>SUM(J142:J144)</f>
        <v>0</v>
      </c>
      <c r="K141" s="453" t="s">
        <v>648</v>
      </c>
      <c r="AI141" s="438" t="s">
        <v>648</v>
      </c>
      <c r="AS141" s="416">
        <f>SUM(AJ142:AJ144)</f>
        <v>0</v>
      </c>
      <c r="AT141" s="416">
        <f>SUM(AK142:AK144)</f>
        <v>0</v>
      </c>
      <c r="AU141" s="416">
        <f>SUM(AL142:AL144)</f>
        <v>0</v>
      </c>
    </row>
    <row r="142" spans="1:76" ht="13.5">
      <c r="A142" s="454" t="s">
        <v>836</v>
      </c>
      <c r="B142" s="455" t="s">
        <v>812</v>
      </c>
      <c r="C142" s="428" t="s">
        <v>813</v>
      </c>
      <c r="D142" s="424"/>
      <c r="E142" s="455" t="s">
        <v>687</v>
      </c>
      <c r="F142" s="456">
        <v>20.684999999999999</v>
      </c>
      <c r="G142" s="456">
        <v>0</v>
      </c>
      <c r="H142" s="456">
        <f>F142*AO142</f>
        <v>0</v>
      </c>
      <c r="I142" s="456">
        <f>F142*AP142</f>
        <v>0</v>
      </c>
      <c r="J142" s="456">
        <f>F142*G142</f>
        <v>0</v>
      </c>
      <c r="K142" s="457" t="s">
        <v>1410</v>
      </c>
      <c r="Z142" s="456">
        <f>IF(AQ142="5",BJ142,0)</f>
        <v>0</v>
      </c>
      <c r="AB142" s="456">
        <f>IF(AQ142="1",BH142,0)</f>
        <v>0</v>
      </c>
      <c r="AC142" s="456">
        <f>IF(AQ142="1",BI142,0)</f>
        <v>0</v>
      </c>
      <c r="AD142" s="456">
        <f>IF(AQ142="7",BH142,0)</f>
        <v>0</v>
      </c>
      <c r="AE142" s="456">
        <f>IF(AQ142="7",BI142,0)</f>
        <v>0</v>
      </c>
      <c r="AF142" s="456">
        <f>IF(AQ142="2",BH142,0)</f>
        <v>0</v>
      </c>
      <c r="AG142" s="456">
        <f>IF(AQ142="2",BI142,0)</f>
        <v>0</v>
      </c>
      <c r="AH142" s="456">
        <f>IF(AQ142="0",BJ142,0)</f>
        <v>0</v>
      </c>
      <c r="AI142" s="438" t="s">
        <v>648</v>
      </c>
      <c r="AJ142" s="456">
        <f>IF(AN142=0,J142,0)</f>
        <v>0</v>
      </c>
      <c r="AK142" s="456">
        <f>IF(AN142=12,J142,0)</f>
        <v>0</v>
      </c>
      <c r="AL142" s="456">
        <f>IF(AN142=21,J142,0)</f>
        <v>0</v>
      </c>
      <c r="AN142" s="456">
        <v>21</v>
      </c>
      <c r="AO142" s="456">
        <f>G142*0.483679375</f>
        <v>0</v>
      </c>
      <c r="AP142" s="456">
        <f>G142*(1-0.483679375)</f>
        <v>0</v>
      </c>
      <c r="AQ142" s="458" t="s">
        <v>651</v>
      </c>
      <c r="AV142" s="456">
        <f>AW142+AX142</f>
        <v>0</v>
      </c>
      <c r="AW142" s="456">
        <f>F142*AO142</f>
        <v>0</v>
      </c>
      <c r="AX142" s="456">
        <f>F142*AP142</f>
        <v>0</v>
      </c>
      <c r="AY142" s="458" t="s">
        <v>814</v>
      </c>
      <c r="AZ142" s="458" t="s">
        <v>815</v>
      </c>
      <c r="BA142" s="438" t="s">
        <v>656</v>
      </c>
      <c r="BC142" s="456">
        <f>AW142+AX142</f>
        <v>0</v>
      </c>
      <c r="BD142" s="456">
        <f>G142/(100-BE142)*100</f>
        <v>0</v>
      </c>
      <c r="BE142" s="456">
        <v>0</v>
      </c>
      <c r="BF142" s="456">
        <f>142</f>
        <v>142</v>
      </c>
      <c r="BH142" s="456">
        <f>F142*AO142</f>
        <v>0</v>
      </c>
      <c r="BI142" s="456">
        <f>F142*AP142</f>
        <v>0</v>
      </c>
      <c r="BJ142" s="456">
        <f>F142*G142</f>
        <v>0</v>
      </c>
      <c r="BK142" s="456"/>
      <c r="BL142" s="456">
        <v>45</v>
      </c>
      <c r="BW142" s="456">
        <v>21</v>
      </c>
      <c r="BX142" s="459" t="s">
        <v>813</v>
      </c>
    </row>
    <row r="143" spans="1:76" ht="13.5">
      <c r="A143" s="460"/>
      <c r="C143" s="461" t="s">
        <v>1133</v>
      </c>
      <c r="D143" s="461" t="s">
        <v>648</v>
      </c>
      <c r="F143" s="462">
        <v>20.684999999999999</v>
      </c>
      <c r="K143" s="463"/>
    </row>
    <row r="144" spans="1:76" ht="13.5">
      <c r="A144" s="454" t="s">
        <v>809</v>
      </c>
      <c r="B144" s="455" t="s">
        <v>818</v>
      </c>
      <c r="C144" s="428" t="s">
        <v>819</v>
      </c>
      <c r="D144" s="424"/>
      <c r="E144" s="455" t="s">
        <v>687</v>
      </c>
      <c r="F144" s="456">
        <v>20.684999999999999</v>
      </c>
      <c r="G144" s="456">
        <v>0</v>
      </c>
      <c r="H144" s="456">
        <f>F144*AO144</f>
        <v>0</v>
      </c>
      <c r="I144" s="456">
        <f>F144*AP144</f>
        <v>0</v>
      </c>
      <c r="J144" s="456">
        <f>F144*G144</f>
        <v>0</v>
      </c>
      <c r="K144" s="457" t="s">
        <v>1410</v>
      </c>
      <c r="Z144" s="456">
        <f>IF(AQ144="5",BJ144,0)</f>
        <v>0</v>
      </c>
      <c r="AB144" s="456">
        <f>IF(AQ144="1",BH144,0)</f>
        <v>0</v>
      </c>
      <c r="AC144" s="456">
        <f>IF(AQ144="1",BI144,0)</f>
        <v>0</v>
      </c>
      <c r="AD144" s="456">
        <f>IF(AQ144="7",BH144,0)</f>
        <v>0</v>
      </c>
      <c r="AE144" s="456">
        <f>IF(AQ144="7",BI144,0)</f>
        <v>0</v>
      </c>
      <c r="AF144" s="456">
        <f>IF(AQ144="2",BH144,0)</f>
        <v>0</v>
      </c>
      <c r="AG144" s="456">
        <f>IF(AQ144="2",BI144,0)</f>
        <v>0</v>
      </c>
      <c r="AH144" s="456">
        <f>IF(AQ144="0",BJ144,0)</f>
        <v>0</v>
      </c>
      <c r="AI144" s="438" t="s">
        <v>648</v>
      </c>
      <c r="AJ144" s="456">
        <f>IF(AN144=0,J144,0)</f>
        <v>0</v>
      </c>
      <c r="AK144" s="456">
        <f>IF(AN144=12,J144,0)</f>
        <v>0</v>
      </c>
      <c r="AL144" s="456">
        <f>IF(AN144=21,J144,0)</f>
        <v>0</v>
      </c>
      <c r="AN144" s="456">
        <v>21</v>
      </c>
      <c r="AO144" s="456">
        <f>G144*0</f>
        <v>0</v>
      </c>
      <c r="AP144" s="456">
        <f>G144*(1-0)</f>
        <v>0</v>
      </c>
      <c r="AQ144" s="458" t="s">
        <v>660</v>
      </c>
      <c r="AV144" s="456">
        <f>AW144+AX144</f>
        <v>0</v>
      </c>
      <c r="AW144" s="456">
        <f>F144*AO144</f>
        <v>0</v>
      </c>
      <c r="AX144" s="456">
        <f>F144*AP144</f>
        <v>0</v>
      </c>
      <c r="AY144" s="458" t="s">
        <v>814</v>
      </c>
      <c r="AZ144" s="458" t="s">
        <v>815</v>
      </c>
      <c r="BA144" s="438" t="s">
        <v>656</v>
      </c>
      <c r="BC144" s="456">
        <f>AW144+AX144</f>
        <v>0</v>
      </c>
      <c r="BD144" s="456">
        <f>G144/(100-BE144)*100</f>
        <v>0</v>
      </c>
      <c r="BE144" s="456">
        <v>0</v>
      </c>
      <c r="BF144" s="456">
        <f>144</f>
        <v>144</v>
      </c>
      <c r="BH144" s="456">
        <f>F144*AO144</f>
        <v>0</v>
      </c>
      <c r="BI144" s="456">
        <f>F144*AP144</f>
        <v>0</v>
      </c>
      <c r="BJ144" s="456">
        <f>F144*G144</f>
        <v>0</v>
      </c>
      <c r="BK144" s="456"/>
      <c r="BL144" s="456">
        <v>45</v>
      </c>
      <c r="BW144" s="456">
        <v>21</v>
      </c>
      <c r="BX144" s="459" t="s">
        <v>819</v>
      </c>
    </row>
    <row r="145" spans="1:76" ht="13.5">
      <c r="A145" s="460"/>
      <c r="C145" s="461" t="s">
        <v>1134</v>
      </c>
      <c r="D145" s="461" t="s">
        <v>648</v>
      </c>
      <c r="F145" s="462">
        <v>20.684999999999999</v>
      </c>
      <c r="K145" s="463"/>
    </row>
    <row r="146" spans="1:76" ht="13.5">
      <c r="A146" s="448" t="s">
        <v>648</v>
      </c>
      <c r="B146" s="449" t="s">
        <v>834</v>
      </c>
      <c r="C146" s="450" t="s">
        <v>835</v>
      </c>
      <c r="D146" s="451"/>
      <c r="E146" s="452" t="s">
        <v>607</v>
      </c>
      <c r="F146" s="452" t="s">
        <v>607</v>
      </c>
      <c r="G146" s="452" t="s">
        <v>607</v>
      </c>
      <c r="H146" s="416">
        <f>SUM(H147:H147)</f>
        <v>0</v>
      </c>
      <c r="I146" s="416">
        <f>SUM(I147:I147)</f>
        <v>0</v>
      </c>
      <c r="J146" s="416">
        <f>SUM(J147:J147)</f>
        <v>0</v>
      </c>
      <c r="K146" s="453" t="s">
        <v>648</v>
      </c>
      <c r="AI146" s="438" t="s">
        <v>648</v>
      </c>
      <c r="AS146" s="416">
        <f>SUM(AJ147:AJ147)</f>
        <v>0</v>
      </c>
      <c r="AT146" s="416">
        <f>SUM(AK147:AK147)</f>
        <v>0</v>
      </c>
      <c r="AU146" s="416">
        <f>SUM(AL147:AL147)</f>
        <v>0</v>
      </c>
    </row>
    <row r="147" spans="1:76" ht="13.5">
      <c r="A147" s="454" t="s">
        <v>841</v>
      </c>
      <c r="B147" s="455" t="s">
        <v>845</v>
      </c>
      <c r="C147" s="428" t="s">
        <v>846</v>
      </c>
      <c r="D147" s="424"/>
      <c r="E147" s="455" t="s">
        <v>40</v>
      </c>
      <c r="F147" s="456">
        <v>9</v>
      </c>
      <c r="G147" s="456">
        <v>0</v>
      </c>
      <c r="H147" s="456">
        <f>F147*AO147</f>
        <v>0</v>
      </c>
      <c r="I147" s="456">
        <f>F147*AP147</f>
        <v>0</v>
      </c>
      <c r="J147" s="456">
        <f>F147*G147</f>
        <v>0</v>
      </c>
      <c r="K147" s="457" t="s">
        <v>1410</v>
      </c>
      <c r="Z147" s="456">
        <f>IF(AQ147="5",BJ147,0)</f>
        <v>0</v>
      </c>
      <c r="AB147" s="456">
        <f>IF(AQ147="1",BH147,0)</f>
        <v>0</v>
      </c>
      <c r="AC147" s="456">
        <f>IF(AQ147="1",BI147,0)</f>
        <v>0</v>
      </c>
      <c r="AD147" s="456">
        <f>IF(AQ147="7",BH147,0)</f>
        <v>0</v>
      </c>
      <c r="AE147" s="456">
        <f>IF(AQ147="7",BI147,0)</f>
        <v>0</v>
      </c>
      <c r="AF147" s="456">
        <f>IF(AQ147="2",BH147,0)</f>
        <v>0</v>
      </c>
      <c r="AG147" s="456">
        <f>IF(AQ147="2",BI147,0)</f>
        <v>0</v>
      </c>
      <c r="AH147" s="456">
        <f>IF(AQ147="0",BJ147,0)</f>
        <v>0</v>
      </c>
      <c r="AI147" s="438" t="s">
        <v>648</v>
      </c>
      <c r="AJ147" s="456">
        <f>IF(AN147=0,J147,0)</f>
        <v>0</v>
      </c>
      <c r="AK147" s="456">
        <f>IF(AN147=12,J147,0)</f>
        <v>0</v>
      </c>
      <c r="AL147" s="456">
        <f>IF(AN147=21,J147,0)</f>
        <v>0</v>
      </c>
      <c r="AN147" s="456">
        <v>21</v>
      </c>
      <c r="AO147" s="456">
        <f>G147*0.659160493</f>
        <v>0</v>
      </c>
      <c r="AP147" s="456">
        <f>G147*(1-0.659160493)</f>
        <v>0</v>
      </c>
      <c r="AQ147" s="458" t="s">
        <v>651</v>
      </c>
      <c r="AV147" s="456">
        <f>AW147+AX147</f>
        <v>0</v>
      </c>
      <c r="AW147" s="456">
        <f>F147*AO147</f>
        <v>0</v>
      </c>
      <c r="AX147" s="456">
        <f>F147*AP147</f>
        <v>0</v>
      </c>
      <c r="AY147" s="458" t="s">
        <v>1372</v>
      </c>
      <c r="AZ147" s="458" t="s">
        <v>825</v>
      </c>
      <c r="BA147" s="438" t="s">
        <v>656</v>
      </c>
      <c r="BC147" s="456">
        <f>AW147+AX147</f>
        <v>0</v>
      </c>
      <c r="BD147" s="456">
        <f>G147/(100-BE147)*100</f>
        <v>0</v>
      </c>
      <c r="BE147" s="456">
        <v>0</v>
      </c>
      <c r="BF147" s="456">
        <f>147</f>
        <v>147</v>
      </c>
      <c r="BH147" s="456">
        <f>F147*AO147</f>
        <v>0</v>
      </c>
      <c r="BI147" s="456">
        <f>F147*AP147</f>
        <v>0</v>
      </c>
      <c r="BJ147" s="456">
        <f>F147*G147</f>
        <v>0</v>
      </c>
      <c r="BK147" s="456"/>
      <c r="BL147" s="456">
        <v>57</v>
      </c>
      <c r="BW147" s="456">
        <v>21</v>
      </c>
      <c r="BX147" s="459" t="s">
        <v>846</v>
      </c>
    </row>
    <row r="148" spans="1:76" ht="13.5">
      <c r="A148" s="460"/>
      <c r="C148" s="461" t="s">
        <v>1445</v>
      </c>
      <c r="D148" s="461" t="s">
        <v>648</v>
      </c>
      <c r="F148" s="462">
        <v>9</v>
      </c>
      <c r="K148" s="463"/>
    </row>
    <row r="149" spans="1:76" ht="13.5">
      <c r="A149" s="448" t="s">
        <v>648</v>
      </c>
      <c r="B149" s="449" t="s">
        <v>901</v>
      </c>
      <c r="C149" s="450" t="s">
        <v>1135</v>
      </c>
      <c r="D149" s="451"/>
      <c r="E149" s="452" t="s">
        <v>607</v>
      </c>
      <c r="F149" s="452" t="s">
        <v>607</v>
      </c>
      <c r="G149" s="452" t="s">
        <v>607</v>
      </c>
      <c r="H149" s="416">
        <f>SUM(H150:H154)</f>
        <v>0</v>
      </c>
      <c r="I149" s="416">
        <f>SUM(I150:I154)</f>
        <v>0</v>
      </c>
      <c r="J149" s="416">
        <f>SUM(J150:J154)</f>
        <v>0</v>
      </c>
      <c r="K149" s="453" t="s">
        <v>648</v>
      </c>
      <c r="AI149" s="438" t="s">
        <v>648</v>
      </c>
      <c r="AS149" s="416">
        <f>SUM(AJ150:AJ154)</f>
        <v>0</v>
      </c>
      <c r="AT149" s="416">
        <f>SUM(AK150:AK154)</f>
        <v>0</v>
      </c>
      <c r="AU149" s="416">
        <f>SUM(AL150:AL154)</f>
        <v>0</v>
      </c>
    </row>
    <row r="150" spans="1:76" ht="13.5">
      <c r="A150" s="454" t="s">
        <v>844</v>
      </c>
      <c r="B150" s="455" t="s">
        <v>1136</v>
      </c>
      <c r="C150" s="428" t="s">
        <v>1137</v>
      </c>
      <c r="D150" s="424"/>
      <c r="E150" s="455" t="s">
        <v>40</v>
      </c>
      <c r="F150" s="456">
        <v>29.594999999999999</v>
      </c>
      <c r="G150" s="456">
        <v>0</v>
      </c>
      <c r="H150" s="456">
        <f>F150*AO150</f>
        <v>0</v>
      </c>
      <c r="I150" s="456">
        <f>F150*AP150</f>
        <v>0</v>
      </c>
      <c r="J150" s="456">
        <f>F150*G150</f>
        <v>0</v>
      </c>
      <c r="K150" s="457" t="s">
        <v>1410</v>
      </c>
      <c r="Z150" s="456">
        <f>IF(AQ150="5",BJ150,0)</f>
        <v>0</v>
      </c>
      <c r="AB150" s="456">
        <f>IF(AQ150="1",BH150,0)</f>
        <v>0</v>
      </c>
      <c r="AC150" s="456">
        <f>IF(AQ150="1",BI150,0)</f>
        <v>0</v>
      </c>
      <c r="AD150" s="456">
        <f>IF(AQ150="7",BH150,0)</f>
        <v>0</v>
      </c>
      <c r="AE150" s="456">
        <f>IF(AQ150="7",BI150,0)</f>
        <v>0</v>
      </c>
      <c r="AF150" s="456">
        <f>IF(AQ150="2",BH150,0)</f>
        <v>0</v>
      </c>
      <c r="AG150" s="456">
        <f>IF(AQ150="2",BI150,0)</f>
        <v>0</v>
      </c>
      <c r="AH150" s="456">
        <f>IF(AQ150="0",BJ150,0)</f>
        <v>0</v>
      </c>
      <c r="AI150" s="438" t="s">
        <v>648</v>
      </c>
      <c r="AJ150" s="456">
        <f>IF(AN150=0,J150,0)</f>
        <v>0</v>
      </c>
      <c r="AK150" s="456">
        <f>IF(AN150=12,J150,0)</f>
        <v>0</v>
      </c>
      <c r="AL150" s="456">
        <f>IF(AN150=21,J150,0)</f>
        <v>0</v>
      </c>
      <c r="AN150" s="456">
        <v>21</v>
      </c>
      <c r="AO150" s="456">
        <f>G150*0.087519055</f>
        <v>0</v>
      </c>
      <c r="AP150" s="456">
        <f>G150*(1-0.087519055)</f>
        <v>0</v>
      </c>
      <c r="AQ150" s="458" t="s">
        <v>651</v>
      </c>
      <c r="AV150" s="456">
        <f>AW150+AX150</f>
        <v>0</v>
      </c>
      <c r="AW150" s="456">
        <f>F150*AO150</f>
        <v>0</v>
      </c>
      <c r="AX150" s="456">
        <f>F150*AP150</f>
        <v>0</v>
      </c>
      <c r="AY150" s="458" t="s">
        <v>1138</v>
      </c>
      <c r="AZ150" s="458" t="s">
        <v>1139</v>
      </c>
      <c r="BA150" s="438" t="s">
        <v>656</v>
      </c>
      <c r="BC150" s="456">
        <f>AW150+AX150</f>
        <v>0</v>
      </c>
      <c r="BD150" s="456">
        <f>G150/(100-BE150)*100</f>
        <v>0</v>
      </c>
      <c r="BE150" s="456">
        <v>0</v>
      </c>
      <c r="BF150" s="456">
        <f>150</f>
        <v>150</v>
      </c>
      <c r="BH150" s="456">
        <f>F150*AO150</f>
        <v>0</v>
      </c>
      <c r="BI150" s="456">
        <f>F150*AP150</f>
        <v>0</v>
      </c>
      <c r="BJ150" s="456">
        <f>F150*G150</f>
        <v>0</v>
      </c>
      <c r="BK150" s="456"/>
      <c r="BL150" s="456">
        <v>61</v>
      </c>
      <c r="BW150" s="456">
        <v>21</v>
      </c>
      <c r="BX150" s="459" t="s">
        <v>1137</v>
      </c>
    </row>
    <row r="151" spans="1:76" ht="13.5">
      <c r="A151" s="460"/>
      <c r="C151" s="461" t="s">
        <v>1140</v>
      </c>
      <c r="D151" s="461" t="s">
        <v>648</v>
      </c>
      <c r="F151" s="462">
        <v>10.797000000000001</v>
      </c>
      <c r="K151" s="463"/>
    </row>
    <row r="152" spans="1:76" ht="13.5">
      <c r="A152" s="460"/>
      <c r="C152" s="461" t="s">
        <v>1141</v>
      </c>
      <c r="D152" s="461" t="s">
        <v>648</v>
      </c>
      <c r="F152" s="462">
        <v>18.797999999999998</v>
      </c>
      <c r="K152" s="463"/>
    </row>
    <row r="153" spans="1:76" ht="13.5">
      <c r="A153" s="460"/>
      <c r="C153" s="461" t="s">
        <v>1142</v>
      </c>
      <c r="D153" s="461" t="s">
        <v>648</v>
      </c>
      <c r="F153" s="462">
        <v>0</v>
      </c>
      <c r="K153" s="463"/>
    </row>
    <row r="154" spans="1:76" ht="13.5">
      <c r="A154" s="454" t="s">
        <v>849</v>
      </c>
      <c r="B154" s="455" t="s">
        <v>1143</v>
      </c>
      <c r="C154" s="428" t="s">
        <v>1144</v>
      </c>
      <c r="D154" s="424"/>
      <c r="E154" s="455" t="s">
        <v>40</v>
      </c>
      <c r="F154" s="456">
        <v>28.4</v>
      </c>
      <c r="G154" s="456">
        <v>0</v>
      </c>
      <c r="H154" s="456">
        <f>F154*AO154</f>
        <v>0</v>
      </c>
      <c r="I154" s="456">
        <f>F154*AP154</f>
        <v>0</v>
      </c>
      <c r="J154" s="456">
        <f>F154*G154</f>
        <v>0</v>
      </c>
      <c r="K154" s="457" t="s">
        <v>1410</v>
      </c>
      <c r="Z154" s="456">
        <f>IF(AQ154="5",BJ154,0)</f>
        <v>0</v>
      </c>
      <c r="AB154" s="456">
        <f>IF(AQ154="1",BH154,0)</f>
        <v>0</v>
      </c>
      <c r="AC154" s="456">
        <f>IF(AQ154="1",BI154,0)</f>
        <v>0</v>
      </c>
      <c r="AD154" s="456">
        <f>IF(AQ154="7",BH154,0)</f>
        <v>0</v>
      </c>
      <c r="AE154" s="456">
        <f>IF(AQ154="7",BI154,0)</f>
        <v>0</v>
      </c>
      <c r="AF154" s="456">
        <f>IF(AQ154="2",BH154,0)</f>
        <v>0</v>
      </c>
      <c r="AG154" s="456">
        <f>IF(AQ154="2",BI154,0)</f>
        <v>0</v>
      </c>
      <c r="AH154" s="456">
        <f>IF(AQ154="0",BJ154,0)</f>
        <v>0</v>
      </c>
      <c r="AI154" s="438" t="s">
        <v>648</v>
      </c>
      <c r="AJ154" s="456">
        <f>IF(AN154=0,J154,0)</f>
        <v>0</v>
      </c>
      <c r="AK154" s="456">
        <f>IF(AN154=12,J154,0)</f>
        <v>0</v>
      </c>
      <c r="AL154" s="456">
        <f>IF(AN154=21,J154,0)</f>
        <v>0</v>
      </c>
      <c r="AN154" s="456">
        <v>21</v>
      </c>
      <c r="AO154" s="456">
        <f>G154*0.145294118</f>
        <v>0</v>
      </c>
      <c r="AP154" s="456">
        <f>G154*(1-0.145294118)</f>
        <v>0</v>
      </c>
      <c r="AQ154" s="458" t="s">
        <v>651</v>
      </c>
      <c r="AV154" s="456">
        <f>AW154+AX154</f>
        <v>0</v>
      </c>
      <c r="AW154" s="456">
        <f>F154*AO154</f>
        <v>0</v>
      </c>
      <c r="AX154" s="456">
        <f>F154*AP154</f>
        <v>0</v>
      </c>
      <c r="AY154" s="458" t="s">
        <v>1138</v>
      </c>
      <c r="AZ154" s="458" t="s">
        <v>1139</v>
      </c>
      <c r="BA154" s="438" t="s">
        <v>656</v>
      </c>
      <c r="BC154" s="456">
        <f>AW154+AX154</f>
        <v>0</v>
      </c>
      <c r="BD154" s="456">
        <f>G154/(100-BE154)*100</f>
        <v>0</v>
      </c>
      <c r="BE154" s="456">
        <v>0</v>
      </c>
      <c r="BF154" s="456">
        <f>154</f>
        <v>154</v>
      </c>
      <c r="BH154" s="456">
        <f>F154*AO154</f>
        <v>0</v>
      </c>
      <c r="BI154" s="456">
        <f>F154*AP154</f>
        <v>0</v>
      </c>
      <c r="BJ154" s="456">
        <f>F154*G154</f>
        <v>0</v>
      </c>
      <c r="BK154" s="456"/>
      <c r="BL154" s="456">
        <v>61</v>
      </c>
      <c r="BW154" s="456">
        <v>21</v>
      </c>
      <c r="BX154" s="459" t="s">
        <v>1144</v>
      </c>
    </row>
    <row r="155" spans="1:76" ht="13.5">
      <c r="A155" s="460"/>
      <c r="C155" s="461" t="s">
        <v>1145</v>
      </c>
      <c r="D155" s="461" t="s">
        <v>648</v>
      </c>
      <c r="F155" s="462">
        <v>9.9</v>
      </c>
      <c r="K155" s="463"/>
    </row>
    <row r="156" spans="1:76" ht="13.5">
      <c r="A156" s="460"/>
      <c r="C156" s="461" t="s">
        <v>1146</v>
      </c>
      <c r="D156" s="461" t="s">
        <v>648</v>
      </c>
      <c r="F156" s="462">
        <v>18.5</v>
      </c>
      <c r="K156" s="463"/>
    </row>
    <row r="157" spans="1:76" ht="13.5">
      <c r="A157" s="460"/>
      <c r="C157" s="461" t="s">
        <v>1142</v>
      </c>
      <c r="D157" s="461" t="s">
        <v>648</v>
      </c>
      <c r="F157" s="462">
        <v>0</v>
      </c>
      <c r="K157" s="463"/>
    </row>
    <row r="158" spans="1:76" ht="13.5">
      <c r="A158" s="448" t="s">
        <v>648</v>
      </c>
      <c r="B158" s="449" t="s">
        <v>908</v>
      </c>
      <c r="C158" s="450" t="s">
        <v>1147</v>
      </c>
      <c r="D158" s="451"/>
      <c r="E158" s="452" t="s">
        <v>607</v>
      </c>
      <c r="F158" s="452" t="s">
        <v>607</v>
      </c>
      <c r="G158" s="452" t="s">
        <v>607</v>
      </c>
      <c r="H158" s="416">
        <f>SUM(H159:H159)</f>
        <v>0</v>
      </c>
      <c r="I158" s="416">
        <f>SUM(I159:I159)</f>
        <v>0</v>
      </c>
      <c r="J158" s="416">
        <f>SUM(J159:J159)</f>
        <v>0</v>
      </c>
      <c r="K158" s="453" t="s">
        <v>648</v>
      </c>
      <c r="AI158" s="438" t="s">
        <v>648</v>
      </c>
      <c r="AS158" s="416">
        <f>SUM(AJ159:AJ159)</f>
        <v>0</v>
      </c>
      <c r="AT158" s="416">
        <f>SUM(AK159:AK159)</f>
        <v>0</v>
      </c>
      <c r="AU158" s="416">
        <f>SUM(AL159:AL159)</f>
        <v>0</v>
      </c>
    </row>
    <row r="159" spans="1:76" ht="13.5">
      <c r="A159" s="454" t="s">
        <v>855</v>
      </c>
      <c r="B159" s="455" t="s">
        <v>1148</v>
      </c>
      <c r="C159" s="428" t="s">
        <v>1149</v>
      </c>
      <c r="D159" s="424"/>
      <c r="E159" s="455" t="s">
        <v>40</v>
      </c>
      <c r="F159" s="456">
        <v>40.4983</v>
      </c>
      <c r="G159" s="456">
        <v>0</v>
      </c>
      <c r="H159" s="456">
        <f>F159*AO159</f>
        <v>0</v>
      </c>
      <c r="I159" s="456">
        <f>F159*AP159</f>
        <v>0</v>
      </c>
      <c r="J159" s="456">
        <f>F159*G159</f>
        <v>0</v>
      </c>
      <c r="K159" s="457" t="s">
        <v>1410</v>
      </c>
      <c r="Z159" s="456">
        <f>IF(AQ159="5",BJ159,0)</f>
        <v>0</v>
      </c>
      <c r="AB159" s="456">
        <f>IF(AQ159="1",BH159,0)</f>
        <v>0</v>
      </c>
      <c r="AC159" s="456">
        <f>IF(AQ159="1",BI159,0)</f>
        <v>0</v>
      </c>
      <c r="AD159" s="456">
        <f>IF(AQ159="7",BH159,0)</f>
        <v>0</v>
      </c>
      <c r="AE159" s="456">
        <f>IF(AQ159="7",BI159,0)</f>
        <v>0</v>
      </c>
      <c r="AF159" s="456">
        <f>IF(AQ159="2",BH159,0)</f>
        <v>0</v>
      </c>
      <c r="AG159" s="456">
        <f>IF(AQ159="2",BI159,0)</f>
        <v>0</v>
      </c>
      <c r="AH159" s="456">
        <f>IF(AQ159="0",BJ159,0)</f>
        <v>0</v>
      </c>
      <c r="AI159" s="438" t="s">
        <v>648</v>
      </c>
      <c r="AJ159" s="456">
        <f>IF(AN159=0,J159,0)</f>
        <v>0</v>
      </c>
      <c r="AK159" s="456">
        <f>IF(AN159=12,J159,0)</f>
        <v>0</v>
      </c>
      <c r="AL159" s="456">
        <f>IF(AN159=21,J159,0)</f>
        <v>0</v>
      </c>
      <c r="AN159" s="456">
        <v>21</v>
      </c>
      <c r="AO159" s="456">
        <f>G159*0.229663597</f>
        <v>0</v>
      </c>
      <c r="AP159" s="456">
        <f>G159*(1-0.229663597)</f>
        <v>0</v>
      </c>
      <c r="AQ159" s="458" t="s">
        <v>651</v>
      </c>
      <c r="AV159" s="456">
        <f>AW159+AX159</f>
        <v>0</v>
      </c>
      <c r="AW159" s="456">
        <f>F159*AO159</f>
        <v>0</v>
      </c>
      <c r="AX159" s="456">
        <f>F159*AP159</f>
        <v>0</v>
      </c>
      <c r="AY159" s="458" t="s">
        <v>1150</v>
      </c>
      <c r="AZ159" s="458" t="s">
        <v>1139</v>
      </c>
      <c r="BA159" s="438" t="s">
        <v>656</v>
      </c>
      <c r="BC159" s="456">
        <f>AW159+AX159</f>
        <v>0</v>
      </c>
      <c r="BD159" s="456">
        <f>G159/(100-BE159)*100</f>
        <v>0</v>
      </c>
      <c r="BE159" s="456">
        <v>0</v>
      </c>
      <c r="BF159" s="456">
        <f>159</f>
        <v>159</v>
      </c>
      <c r="BH159" s="456">
        <f>F159*AO159</f>
        <v>0</v>
      </c>
      <c r="BI159" s="456">
        <f>F159*AP159</f>
        <v>0</v>
      </c>
      <c r="BJ159" s="456">
        <f>F159*G159</f>
        <v>0</v>
      </c>
      <c r="BK159" s="456"/>
      <c r="BL159" s="456">
        <v>62</v>
      </c>
      <c r="BW159" s="456">
        <v>21</v>
      </c>
      <c r="BX159" s="459" t="s">
        <v>1149</v>
      </c>
    </row>
    <row r="160" spans="1:76" ht="13.5">
      <c r="A160" s="460"/>
      <c r="C160" s="461" t="s">
        <v>1151</v>
      </c>
      <c r="D160" s="461" t="s">
        <v>648</v>
      </c>
      <c r="F160" s="462">
        <v>40.4983</v>
      </c>
      <c r="K160" s="463"/>
    </row>
    <row r="161" spans="1:76" ht="13.5">
      <c r="A161" s="448" t="s">
        <v>648</v>
      </c>
      <c r="B161" s="449" t="s">
        <v>1152</v>
      </c>
      <c r="C161" s="450" t="s">
        <v>1153</v>
      </c>
      <c r="D161" s="451"/>
      <c r="E161" s="452" t="s">
        <v>607</v>
      </c>
      <c r="F161" s="452" t="s">
        <v>607</v>
      </c>
      <c r="G161" s="452" t="s">
        <v>607</v>
      </c>
      <c r="H161" s="416">
        <f>SUM(H162:H162)</f>
        <v>0</v>
      </c>
      <c r="I161" s="416">
        <f>SUM(I162:I162)</f>
        <v>0</v>
      </c>
      <c r="J161" s="416">
        <f>SUM(J162:J162)</f>
        <v>0</v>
      </c>
      <c r="K161" s="453" t="s">
        <v>648</v>
      </c>
      <c r="AI161" s="438" t="s">
        <v>648</v>
      </c>
      <c r="AS161" s="416">
        <f>SUM(AJ162:AJ162)</f>
        <v>0</v>
      </c>
      <c r="AT161" s="416">
        <f>SUM(AK162:AK162)</f>
        <v>0</v>
      </c>
      <c r="AU161" s="416">
        <f>SUM(AL162:AL162)</f>
        <v>0</v>
      </c>
    </row>
    <row r="162" spans="1:76" ht="25.5">
      <c r="A162" s="454" t="s">
        <v>860</v>
      </c>
      <c r="B162" s="455" t="s">
        <v>1154</v>
      </c>
      <c r="C162" s="428" t="s">
        <v>1155</v>
      </c>
      <c r="D162" s="424"/>
      <c r="E162" s="455" t="s">
        <v>40</v>
      </c>
      <c r="F162" s="456">
        <v>13.298999999999999</v>
      </c>
      <c r="G162" s="456">
        <v>0</v>
      </c>
      <c r="H162" s="456">
        <f>F162*AO162</f>
        <v>0</v>
      </c>
      <c r="I162" s="456">
        <f>F162*AP162</f>
        <v>0</v>
      </c>
      <c r="J162" s="456">
        <f>F162*G162</f>
        <v>0</v>
      </c>
      <c r="K162" s="457" t="s">
        <v>1410</v>
      </c>
      <c r="Z162" s="456">
        <f>IF(AQ162="5",BJ162,0)</f>
        <v>0</v>
      </c>
      <c r="AB162" s="456">
        <f>IF(AQ162="1",BH162,0)</f>
        <v>0</v>
      </c>
      <c r="AC162" s="456">
        <f>IF(AQ162="1",BI162,0)</f>
        <v>0</v>
      </c>
      <c r="AD162" s="456">
        <f>IF(AQ162="7",BH162,0)</f>
        <v>0</v>
      </c>
      <c r="AE162" s="456">
        <f>IF(AQ162="7",BI162,0)</f>
        <v>0</v>
      </c>
      <c r="AF162" s="456">
        <f>IF(AQ162="2",BH162,0)</f>
        <v>0</v>
      </c>
      <c r="AG162" s="456">
        <f>IF(AQ162="2",BI162,0)</f>
        <v>0</v>
      </c>
      <c r="AH162" s="456">
        <f>IF(AQ162="0",BJ162,0)</f>
        <v>0</v>
      </c>
      <c r="AI162" s="438" t="s">
        <v>648</v>
      </c>
      <c r="AJ162" s="456">
        <f>IF(AN162=0,J162,0)</f>
        <v>0</v>
      </c>
      <c r="AK162" s="456">
        <f>IF(AN162=12,J162,0)</f>
        <v>0</v>
      </c>
      <c r="AL162" s="456">
        <f>IF(AN162=21,J162,0)</f>
        <v>0</v>
      </c>
      <c r="AN162" s="456">
        <v>21</v>
      </c>
      <c r="AO162" s="456">
        <f>G162*0.786137879</f>
        <v>0</v>
      </c>
      <c r="AP162" s="456">
        <f>G162*(1-0.786137879)</f>
        <v>0</v>
      </c>
      <c r="AQ162" s="458" t="s">
        <v>679</v>
      </c>
      <c r="AV162" s="456">
        <f>AW162+AX162</f>
        <v>0</v>
      </c>
      <c r="AW162" s="456">
        <f>F162*AO162</f>
        <v>0</v>
      </c>
      <c r="AX162" s="456">
        <f>F162*AP162</f>
        <v>0</v>
      </c>
      <c r="AY162" s="458" t="s">
        <v>1156</v>
      </c>
      <c r="AZ162" s="458" t="s">
        <v>1157</v>
      </c>
      <c r="BA162" s="438" t="s">
        <v>656</v>
      </c>
      <c r="BC162" s="456">
        <f>AW162+AX162</f>
        <v>0</v>
      </c>
      <c r="BD162" s="456">
        <f>G162/(100-BE162)*100</f>
        <v>0</v>
      </c>
      <c r="BE162" s="456">
        <v>0</v>
      </c>
      <c r="BF162" s="456">
        <f>162</f>
        <v>162</v>
      </c>
      <c r="BH162" s="456">
        <f>F162*AO162</f>
        <v>0</v>
      </c>
      <c r="BI162" s="456">
        <f>F162*AP162</f>
        <v>0</v>
      </c>
      <c r="BJ162" s="456">
        <f>F162*G162</f>
        <v>0</v>
      </c>
      <c r="BK162" s="456"/>
      <c r="BL162" s="456">
        <v>711</v>
      </c>
      <c r="BW162" s="456">
        <v>21</v>
      </c>
      <c r="BX162" s="459" t="s">
        <v>1155</v>
      </c>
    </row>
    <row r="163" spans="1:76" ht="13.5">
      <c r="A163" s="460"/>
      <c r="C163" s="461" t="s">
        <v>1158</v>
      </c>
      <c r="D163" s="461" t="s">
        <v>648</v>
      </c>
      <c r="F163" s="462">
        <v>12.09</v>
      </c>
      <c r="K163" s="463"/>
    </row>
    <row r="164" spans="1:76" ht="13.5">
      <c r="A164" s="460"/>
      <c r="C164" s="461" t="s">
        <v>1159</v>
      </c>
      <c r="D164" s="461" t="s">
        <v>648</v>
      </c>
      <c r="F164" s="462">
        <v>1.2090000000000001</v>
      </c>
      <c r="K164" s="463"/>
    </row>
    <row r="165" spans="1:76" ht="13.5">
      <c r="A165" s="448" t="s">
        <v>648</v>
      </c>
      <c r="B165" s="449" t="s">
        <v>872</v>
      </c>
      <c r="C165" s="450" t="s">
        <v>873</v>
      </c>
      <c r="D165" s="451"/>
      <c r="E165" s="452" t="s">
        <v>607</v>
      </c>
      <c r="F165" s="452" t="s">
        <v>607</v>
      </c>
      <c r="G165" s="452" t="s">
        <v>607</v>
      </c>
      <c r="H165" s="416">
        <f>SUM(H166:H166)</f>
        <v>0</v>
      </c>
      <c r="I165" s="416">
        <f>SUM(I166:I166)</f>
        <v>0</v>
      </c>
      <c r="J165" s="416">
        <f>SUM(J166:J166)</f>
        <v>0</v>
      </c>
      <c r="K165" s="453" t="s">
        <v>648</v>
      </c>
      <c r="AI165" s="438" t="s">
        <v>648</v>
      </c>
      <c r="AS165" s="416">
        <f>SUM(AJ166:AJ166)</f>
        <v>0</v>
      </c>
      <c r="AT165" s="416">
        <f>SUM(AK166:AK166)</f>
        <v>0</v>
      </c>
      <c r="AU165" s="416">
        <f>SUM(AL166:AL166)</f>
        <v>0</v>
      </c>
    </row>
    <row r="166" spans="1:76" ht="13.5">
      <c r="A166" s="454" t="s">
        <v>864</v>
      </c>
      <c r="B166" s="455" t="s">
        <v>1160</v>
      </c>
      <c r="C166" s="428" t="s">
        <v>1161</v>
      </c>
      <c r="D166" s="424"/>
      <c r="E166" s="455" t="s">
        <v>14</v>
      </c>
      <c r="F166" s="456">
        <v>1</v>
      </c>
      <c r="G166" s="456">
        <v>0</v>
      </c>
      <c r="H166" s="456">
        <f>F166*AO166</f>
        <v>0</v>
      </c>
      <c r="I166" s="456">
        <f>F166*AP166</f>
        <v>0</v>
      </c>
      <c r="J166" s="456">
        <f>F166*G166</f>
        <v>0</v>
      </c>
      <c r="K166" s="457" t="s">
        <v>648</v>
      </c>
      <c r="Z166" s="456">
        <f>IF(AQ166="5",BJ166,0)</f>
        <v>0</v>
      </c>
      <c r="AB166" s="456">
        <f>IF(AQ166="1",BH166,0)</f>
        <v>0</v>
      </c>
      <c r="AC166" s="456">
        <f>IF(AQ166="1",BI166,0)</f>
        <v>0</v>
      </c>
      <c r="AD166" s="456">
        <f>IF(AQ166="7",BH166,0)</f>
        <v>0</v>
      </c>
      <c r="AE166" s="456">
        <f>IF(AQ166="7",BI166,0)</f>
        <v>0</v>
      </c>
      <c r="AF166" s="456">
        <f>IF(AQ166="2",BH166,0)</f>
        <v>0</v>
      </c>
      <c r="AG166" s="456">
        <f>IF(AQ166="2",BI166,0)</f>
        <v>0</v>
      </c>
      <c r="AH166" s="456">
        <f>IF(AQ166="0",BJ166,0)</f>
        <v>0</v>
      </c>
      <c r="AI166" s="438" t="s">
        <v>648</v>
      </c>
      <c r="AJ166" s="456">
        <f>IF(AN166=0,J166,0)</f>
        <v>0</v>
      </c>
      <c r="AK166" s="456">
        <f>IF(AN166=12,J166,0)</f>
        <v>0</v>
      </c>
      <c r="AL166" s="456">
        <f>IF(AN166=21,J166,0)</f>
        <v>0</v>
      </c>
      <c r="AN166" s="456">
        <v>21</v>
      </c>
      <c r="AO166" s="456">
        <f>G166*0.9</f>
        <v>0</v>
      </c>
      <c r="AP166" s="456">
        <f>G166*(1-0.9)</f>
        <v>0</v>
      </c>
      <c r="AQ166" s="458" t="s">
        <v>679</v>
      </c>
      <c r="AV166" s="456">
        <f>AW166+AX166</f>
        <v>0</v>
      </c>
      <c r="AW166" s="456">
        <f>F166*AO166</f>
        <v>0</v>
      </c>
      <c r="AX166" s="456">
        <f>F166*AP166</f>
        <v>0</v>
      </c>
      <c r="AY166" s="458" t="s">
        <v>875</v>
      </c>
      <c r="AZ166" s="458" t="s">
        <v>876</v>
      </c>
      <c r="BA166" s="438" t="s">
        <v>656</v>
      </c>
      <c r="BC166" s="456">
        <f>AW166+AX166</f>
        <v>0</v>
      </c>
      <c r="BD166" s="456">
        <f>G166/(100-BE166)*100</f>
        <v>0</v>
      </c>
      <c r="BE166" s="456">
        <v>0</v>
      </c>
      <c r="BF166" s="456">
        <f>166</f>
        <v>166</v>
      </c>
      <c r="BH166" s="456">
        <f>F166*AO166</f>
        <v>0</v>
      </c>
      <c r="BI166" s="456">
        <f>F166*AP166</f>
        <v>0</v>
      </c>
      <c r="BJ166" s="456">
        <f>F166*G166</f>
        <v>0</v>
      </c>
      <c r="BK166" s="456"/>
      <c r="BL166" s="456">
        <v>767</v>
      </c>
      <c r="BW166" s="456">
        <v>21</v>
      </c>
      <c r="BX166" s="459" t="s">
        <v>1161</v>
      </c>
    </row>
    <row r="167" spans="1:76" ht="13.5">
      <c r="A167" s="460"/>
      <c r="C167" s="461" t="s">
        <v>1162</v>
      </c>
      <c r="D167" s="461" t="s">
        <v>648</v>
      </c>
      <c r="F167" s="462">
        <v>1</v>
      </c>
      <c r="K167" s="463"/>
    </row>
    <row r="168" spans="1:76" ht="13.5">
      <c r="A168" s="448" t="s">
        <v>648</v>
      </c>
      <c r="B168" s="449" t="s">
        <v>1163</v>
      </c>
      <c r="C168" s="450" t="s">
        <v>1164</v>
      </c>
      <c r="D168" s="451"/>
      <c r="E168" s="452" t="s">
        <v>607</v>
      </c>
      <c r="F168" s="452" t="s">
        <v>607</v>
      </c>
      <c r="G168" s="452" t="s">
        <v>607</v>
      </c>
      <c r="H168" s="416">
        <f>SUM(H169:H181)</f>
        <v>0</v>
      </c>
      <c r="I168" s="416">
        <f>SUM(I169:I181)</f>
        <v>0</v>
      </c>
      <c r="J168" s="416">
        <f>SUM(J169:J181)</f>
        <v>0</v>
      </c>
      <c r="K168" s="453" t="s">
        <v>648</v>
      </c>
      <c r="AI168" s="438" t="s">
        <v>648</v>
      </c>
      <c r="AS168" s="416">
        <f>SUM(AJ169:AJ181)</f>
        <v>0</v>
      </c>
      <c r="AT168" s="416">
        <f>SUM(AK169:AK181)</f>
        <v>0</v>
      </c>
      <c r="AU168" s="416">
        <f>SUM(AL169:AL181)</f>
        <v>0</v>
      </c>
    </row>
    <row r="169" spans="1:76" ht="13.5">
      <c r="A169" s="454" t="s">
        <v>868</v>
      </c>
      <c r="B169" s="455" t="s">
        <v>1165</v>
      </c>
      <c r="C169" s="428" t="s">
        <v>1166</v>
      </c>
      <c r="D169" s="424"/>
      <c r="E169" s="455" t="s">
        <v>40</v>
      </c>
      <c r="F169" s="456">
        <v>28.4</v>
      </c>
      <c r="G169" s="456">
        <v>0</v>
      </c>
      <c r="H169" s="456">
        <f>F169*AO169</f>
        <v>0</v>
      </c>
      <c r="I169" s="456">
        <f>F169*AP169</f>
        <v>0</v>
      </c>
      <c r="J169" s="456">
        <f>F169*G169</f>
        <v>0</v>
      </c>
      <c r="K169" s="457" t="s">
        <v>1410</v>
      </c>
      <c r="Z169" s="456">
        <f>IF(AQ169="5",BJ169,0)</f>
        <v>0</v>
      </c>
      <c r="AB169" s="456">
        <f>IF(AQ169="1",BH169,0)</f>
        <v>0</v>
      </c>
      <c r="AC169" s="456">
        <f>IF(AQ169="1",BI169,0)</f>
        <v>0</v>
      </c>
      <c r="AD169" s="456">
        <f>IF(AQ169="7",BH169,0)</f>
        <v>0</v>
      </c>
      <c r="AE169" s="456">
        <f>IF(AQ169="7",BI169,0)</f>
        <v>0</v>
      </c>
      <c r="AF169" s="456">
        <f>IF(AQ169="2",BH169,0)</f>
        <v>0</v>
      </c>
      <c r="AG169" s="456">
        <f>IF(AQ169="2",BI169,0)</f>
        <v>0</v>
      </c>
      <c r="AH169" s="456">
        <f>IF(AQ169="0",BJ169,0)</f>
        <v>0</v>
      </c>
      <c r="AI169" s="438" t="s">
        <v>648</v>
      </c>
      <c r="AJ169" s="456">
        <f>IF(AN169=0,J169,0)</f>
        <v>0</v>
      </c>
      <c r="AK169" s="456">
        <f>IF(AN169=12,J169,0)</f>
        <v>0</v>
      </c>
      <c r="AL169" s="456">
        <f>IF(AN169=21,J169,0)</f>
        <v>0</v>
      </c>
      <c r="AN169" s="456">
        <v>21</v>
      </c>
      <c r="AO169" s="456">
        <f>G169*0.436432182</f>
        <v>0</v>
      </c>
      <c r="AP169" s="456">
        <f>G169*(1-0.436432182)</f>
        <v>0</v>
      </c>
      <c r="AQ169" s="458" t="s">
        <v>679</v>
      </c>
      <c r="AV169" s="456">
        <f>AW169+AX169</f>
        <v>0</v>
      </c>
      <c r="AW169" s="456">
        <f>F169*AO169</f>
        <v>0</v>
      </c>
      <c r="AX169" s="456">
        <f>F169*AP169</f>
        <v>0</v>
      </c>
      <c r="AY169" s="458" t="s">
        <v>1167</v>
      </c>
      <c r="AZ169" s="458" t="s">
        <v>1168</v>
      </c>
      <c r="BA169" s="438" t="s">
        <v>656</v>
      </c>
      <c r="BC169" s="456">
        <f>AW169+AX169</f>
        <v>0</v>
      </c>
      <c r="BD169" s="456">
        <f>G169/(100-BE169)*100</f>
        <v>0</v>
      </c>
      <c r="BE169" s="456">
        <v>0</v>
      </c>
      <c r="BF169" s="456">
        <f>169</f>
        <v>169</v>
      </c>
      <c r="BH169" s="456">
        <f>F169*AO169</f>
        <v>0</v>
      </c>
      <c r="BI169" s="456">
        <f>F169*AP169</f>
        <v>0</v>
      </c>
      <c r="BJ169" s="456">
        <f>F169*G169</f>
        <v>0</v>
      </c>
      <c r="BK169" s="456"/>
      <c r="BL169" s="456">
        <v>771</v>
      </c>
      <c r="BW169" s="456">
        <v>21</v>
      </c>
      <c r="BX169" s="459" t="s">
        <v>1166</v>
      </c>
    </row>
    <row r="170" spans="1:76" ht="13.5">
      <c r="A170" s="460"/>
      <c r="C170" s="461" t="s">
        <v>1145</v>
      </c>
      <c r="D170" s="461" t="s">
        <v>648</v>
      </c>
      <c r="F170" s="462">
        <v>9.9</v>
      </c>
      <c r="K170" s="463"/>
    </row>
    <row r="171" spans="1:76" ht="13.5">
      <c r="A171" s="460"/>
      <c r="C171" s="461" t="s">
        <v>1146</v>
      </c>
      <c r="D171" s="461" t="s">
        <v>648</v>
      </c>
      <c r="F171" s="462">
        <v>18.5</v>
      </c>
      <c r="K171" s="463"/>
    </row>
    <row r="172" spans="1:76" ht="13.5">
      <c r="A172" s="460"/>
      <c r="C172" s="461" t="s">
        <v>1169</v>
      </c>
      <c r="D172" s="461" t="s">
        <v>648</v>
      </c>
      <c r="F172" s="462">
        <v>0</v>
      </c>
      <c r="K172" s="463"/>
    </row>
    <row r="173" spans="1:76" ht="13.5">
      <c r="A173" s="454" t="s">
        <v>874</v>
      </c>
      <c r="B173" s="455" t="s">
        <v>1170</v>
      </c>
      <c r="C173" s="428" t="s">
        <v>1171</v>
      </c>
      <c r="D173" s="424"/>
      <c r="E173" s="455" t="s">
        <v>40</v>
      </c>
      <c r="F173" s="456">
        <v>28.4</v>
      </c>
      <c r="G173" s="456">
        <v>0</v>
      </c>
      <c r="H173" s="456">
        <f>F173*AO173</f>
        <v>0</v>
      </c>
      <c r="I173" s="456">
        <f>F173*AP173</f>
        <v>0</v>
      </c>
      <c r="J173" s="456">
        <f>F173*G173</f>
        <v>0</v>
      </c>
      <c r="K173" s="457" t="s">
        <v>1410</v>
      </c>
      <c r="Z173" s="456">
        <f>IF(AQ173="5",BJ173,0)</f>
        <v>0</v>
      </c>
      <c r="AB173" s="456">
        <f>IF(AQ173="1",BH173,0)</f>
        <v>0</v>
      </c>
      <c r="AC173" s="456">
        <f>IF(AQ173="1",BI173,0)</f>
        <v>0</v>
      </c>
      <c r="AD173" s="456">
        <f>IF(AQ173="7",BH173,0)</f>
        <v>0</v>
      </c>
      <c r="AE173" s="456">
        <f>IF(AQ173="7",BI173,0)</f>
        <v>0</v>
      </c>
      <c r="AF173" s="456">
        <f>IF(AQ173="2",BH173,0)</f>
        <v>0</v>
      </c>
      <c r="AG173" s="456">
        <f>IF(AQ173="2",BI173,0)</f>
        <v>0</v>
      </c>
      <c r="AH173" s="456">
        <f>IF(AQ173="0",BJ173,0)</f>
        <v>0</v>
      </c>
      <c r="AI173" s="438" t="s">
        <v>648</v>
      </c>
      <c r="AJ173" s="456">
        <f>IF(AN173=0,J173,0)</f>
        <v>0</v>
      </c>
      <c r="AK173" s="456">
        <f>IF(AN173=12,J173,0)</f>
        <v>0</v>
      </c>
      <c r="AL173" s="456">
        <f>IF(AN173=21,J173,0)</f>
        <v>0</v>
      </c>
      <c r="AN173" s="456">
        <v>21</v>
      </c>
      <c r="AO173" s="456">
        <f>G173*0.427145709</f>
        <v>0</v>
      </c>
      <c r="AP173" s="456">
        <f>G173*(1-0.427145709)</f>
        <v>0</v>
      </c>
      <c r="AQ173" s="458" t="s">
        <v>679</v>
      </c>
      <c r="AV173" s="456">
        <f>AW173+AX173</f>
        <v>0</v>
      </c>
      <c r="AW173" s="456">
        <f>F173*AO173</f>
        <v>0</v>
      </c>
      <c r="AX173" s="456">
        <f>F173*AP173</f>
        <v>0</v>
      </c>
      <c r="AY173" s="458" t="s">
        <v>1167</v>
      </c>
      <c r="AZ173" s="458" t="s">
        <v>1168</v>
      </c>
      <c r="BA173" s="438" t="s">
        <v>656</v>
      </c>
      <c r="BC173" s="456">
        <f>AW173+AX173</f>
        <v>0</v>
      </c>
      <c r="BD173" s="456">
        <f>G173/(100-BE173)*100</f>
        <v>0</v>
      </c>
      <c r="BE173" s="456">
        <v>0</v>
      </c>
      <c r="BF173" s="456">
        <f>173</f>
        <v>173</v>
      </c>
      <c r="BH173" s="456">
        <f>F173*AO173</f>
        <v>0</v>
      </c>
      <c r="BI173" s="456">
        <f>F173*AP173</f>
        <v>0</v>
      </c>
      <c r="BJ173" s="456">
        <f>F173*G173</f>
        <v>0</v>
      </c>
      <c r="BK173" s="456"/>
      <c r="BL173" s="456">
        <v>771</v>
      </c>
      <c r="BW173" s="456">
        <v>21</v>
      </c>
      <c r="BX173" s="459" t="s">
        <v>1171</v>
      </c>
    </row>
    <row r="174" spans="1:76" ht="13.5">
      <c r="A174" s="460"/>
      <c r="C174" s="461" t="s">
        <v>1172</v>
      </c>
      <c r="D174" s="461" t="s">
        <v>648</v>
      </c>
      <c r="F174" s="462">
        <v>28.4</v>
      </c>
      <c r="K174" s="463"/>
    </row>
    <row r="175" spans="1:76" ht="13.5">
      <c r="A175" s="460"/>
      <c r="C175" s="461" t="s">
        <v>1169</v>
      </c>
      <c r="D175" s="461" t="s">
        <v>648</v>
      </c>
      <c r="F175" s="462">
        <v>0</v>
      </c>
      <c r="K175" s="463"/>
    </row>
    <row r="176" spans="1:76" ht="13.5">
      <c r="A176" s="454" t="s">
        <v>879</v>
      </c>
      <c r="B176" s="455" t="s">
        <v>1173</v>
      </c>
      <c r="C176" s="428" t="s">
        <v>1174</v>
      </c>
      <c r="D176" s="424"/>
      <c r="E176" s="455" t="s">
        <v>40</v>
      </c>
      <c r="F176" s="456">
        <v>28.4</v>
      </c>
      <c r="G176" s="456">
        <v>0</v>
      </c>
      <c r="H176" s="456">
        <f>F176*AO176</f>
        <v>0</v>
      </c>
      <c r="I176" s="456">
        <f>F176*AP176</f>
        <v>0</v>
      </c>
      <c r="J176" s="456">
        <f>F176*G176</f>
        <v>0</v>
      </c>
      <c r="K176" s="457" t="s">
        <v>1410</v>
      </c>
      <c r="Z176" s="456">
        <f>IF(AQ176="5",BJ176,0)</f>
        <v>0</v>
      </c>
      <c r="AB176" s="456">
        <f>IF(AQ176="1",BH176,0)</f>
        <v>0</v>
      </c>
      <c r="AC176" s="456">
        <f>IF(AQ176="1",BI176,0)</f>
        <v>0</v>
      </c>
      <c r="AD176" s="456">
        <f>IF(AQ176="7",BH176,0)</f>
        <v>0</v>
      </c>
      <c r="AE176" s="456">
        <f>IF(AQ176="7",BI176,0)</f>
        <v>0</v>
      </c>
      <c r="AF176" s="456">
        <f>IF(AQ176="2",BH176,0)</f>
        <v>0</v>
      </c>
      <c r="AG176" s="456">
        <f>IF(AQ176="2",BI176,0)</f>
        <v>0</v>
      </c>
      <c r="AH176" s="456">
        <f>IF(AQ176="0",BJ176,0)</f>
        <v>0</v>
      </c>
      <c r="AI176" s="438" t="s">
        <v>648</v>
      </c>
      <c r="AJ176" s="456">
        <f>IF(AN176=0,J176,0)</f>
        <v>0</v>
      </c>
      <c r="AK176" s="456">
        <f>IF(AN176=12,J176,0)</f>
        <v>0</v>
      </c>
      <c r="AL176" s="456">
        <f>IF(AN176=21,J176,0)</f>
        <v>0</v>
      </c>
      <c r="AN176" s="456">
        <v>21</v>
      </c>
      <c r="AO176" s="456">
        <f>G176*0.169764151</f>
        <v>0</v>
      </c>
      <c r="AP176" s="456">
        <f>G176*(1-0.169764151)</f>
        <v>0</v>
      </c>
      <c r="AQ176" s="458" t="s">
        <v>679</v>
      </c>
      <c r="AV176" s="456">
        <f>AW176+AX176</f>
        <v>0</v>
      </c>
      <c r="AW176" s="456">
        <f>F176*AO176</f>
        <v>0</v>
      </c>
      <c r="AX176" s="456">
        <f>F176*AP176</f>
        <v>0</v>
      </c>
      <c r="AY176" s="458" t="s">
        <v>1167</v>
      </c>
      <c r="AZ176" s="458" t="s">
        <v>1168</v>
      </c>
      <c r="BA176" s="438" t="s">
        <v>656</v>
      </c>
      <c r="BC176" s="456">
        <f>AW176+AX176</f>
        <v>0</v>
      </c>
      <c r="BD176" s="456">
        <f>G176/(100-BE176)*100</f>
        <v>0</v>
      </c>
      <c r="BE176" s="456">
        <v>0</v>
      </c>
      <c r="BF176" s="456">
        <f>176</f>
        <v>176</v>
      </c>
      <c r="BH176" s="456">
        <f>F176*AO176</f>
        <v>0</v>
      </c>
      <c r="BI176" s="456">
        <f>F176*AP176</f>
        <v>0</v>
      </c>
      <c r="BJ176" s="456">
        <f>F176*G176</f>
        <v>0</v>
      </c>
      <c r="BK176" s="456"/>
      <c r="BL176" s="456">
        <v>771</v>
      </c>
      <c r="BW176" s="456">
        <v>21</v>
      </c>
      <c r="BX176" s="459" t="s">
        <v>1174</v>
      </c>
    </row>
    <row r="177" spans="1:76" ht="13.5">
      <c r="A177" s="460"/>
      <c r="C177" s="461" t="s">
        <v>1172</v>
      </c>
      <c r="D177" s="461" t="s">
        <v>648</v>
      </c>
      <c r="F177" s="462">
        <v>28.4</v>
      </c>
      <c r="K177" s="463"/>
    </row>
    <row r="178" spans="1:76" ht="13.5">
      <c r="A178" s="460"/>
      <c r="C178" s="461" t="s">
        <v>1169</v>
      </c>
      <c r="D178" s="461" t="s">
        <v>648</v>
      </c>
      <c r="F178" s="462">
        <v>0</v>
      </c>
      <c r="K178" s="463"/>
    </row>
    <row r="179" spans="1:76" ht="13.5">
      <c r="A179" s="454" t="s">
        <v>885</v>
      </c>
      <c r="B179" s="455" t="s">
        <v>1175</v>
      </c>
      <c r="C179" s="428" t="s">
        <v>1176</v>
      </c>
      <c r="D179" s="424"/>
      <c r="E179" s="455" t="s">
        <v>40</v>
      </c>
      <c r="F179" s="456">
        <v>30</v>
      </c>
      <c r="G179" s="456">
        <v>0</v>
      </c>
      <c r="H179" s="456">
        <f>F179*AO179</f>
        <v>0</v>
      </c>
      <c r="I179" s="456">
        <f>F179*AP179</f>
        <v>0</v>
      </c>
      <c r="J179" s="456">
        <f>F179*G179</f>
        <v>0</v>
      </c>
      <c r="K179" s="457" t="s">
        <v>648</v>
      </c>
      <c r="Z179" s="456">
        <f>IF(AQ179="5",BJ179,0)</f>
        <v>0</v>
      </c>
      <c r="AB179" s="456">
        <f>IF(AQ179="1",BH179,0)</f>
        <v>0</v>
      </c>
      <c r="AC179" s="456">
        <f>IF(AQ179="1",BI179,0)</f>
        <v>0</v>
      </c>
      <c r="AD179" s="456">
        <f>IF(AQ179="7",BH179,0)</f>
        <v>0</v>
      </c>
      <c r="AE179" s="456">
        <f>IF(AQ179="7",BI179,0)</f>
        <v>0</v>
      </c>
      <c r="AF179" s="456">
        <f>IF(AQ179="2",BH179,0)</f>
        <v>0</v>
      </c>
      <c r="AG179" s="456">
        <f>IF(AQ179="2",BI179,0)</f>
        <v>0</v>
      </c>
      <c r="AH179" s="456">
        <f>IF(AQ179="0",BJ179,0)</f>
        <v>0</v>
      </c>
      <c r="AI179" s="438" t="s">
        <v>648</v>
      </c>
      <c r="AJ179" s="456">
        <f>IF(AN179=0,J179,0)</f>
        <v>0</v>
      </c>
      <c r="AK179" s="456">
        <f>IF(AN179=12,J179,0)</f>
        <v>0</v>
      </c>
      <c r="AL179" s="456">
        <f>IF(AN179=21,J179,0)</f>
        <v>0</v>
      </c>
      <c r="AN179" s="456">
        <v>21</v>
      </c>
      <c r="AO179" s="456">
        <f>G179*1</f>
        <v>0</v>
      </c>
      <c r="AP179" s="456">
        <f>G179*(1-1)</f>
        <v>0</v>
      </c>
      <c r="AQ179" s="458" t="s">
        <v>679</v>
      </c>
      <c r="AV179" s="456">
        <f>AW179+AX179</f>
        <v>0</v>
      </c>
      <c r="AW179" s="456">
        <f>F179*AO179</f>
        <v>0</v>
      </c>
      <c r="AX179" s="456">
        <f>F179*AP179</f>
        <v>0</v>
      </c>
      <c r="AY179" s="458" t="s">
        <v>1167</v>
      </c>
      <c r="AZ179" s="458" t="s">
        <v>1168</v>
      </c>
      <c r="BA179" s="438" t="s">
        <v>656</v>
      </c>
      <c r="BC179" s="456">
        <f>AW179+AX179</f>
        <v>0</v>
      </c>
      <c r="BD179" s="456">
        <f>G179/(100-BE179)*100</f>
        <v>0</v>
      </c>
      <c r="BE179" s="456">
        <v>0</v>
      </c>
      <c r="BF179" s="456">
        <f>179</f>
        <v>179</v>
      </c>
      <c r="BH179" s="456">
        <f>F179*AO179</f>
        <v>0</v>
      </c>
      <c r="BI179" s="456">
        <f>F179*AP179</f>
        <v>0</v>
      </c>
      <c r="BJ179" s="456">
        <f>F179*G179</f>
        <v>0</v>
      </c>
      <c r="BK179" s="456"/>
      <c r="BL179" s="456">
        <v>771</v>
      </c>
      <c r="BW179" s="456">
        <v>21</v>
      </c>
      <c r="BX179" s="459" t="s">
        <v>1176</v>
      </c>
    </row>
    <row r="180" spans="1:76" ht="13.5">
      <c r="A180" s="460"/>
      <c r="C180" s="461" t="s">
        <v>1177</v>
      </c>
      <c r="D180" s="461" t="s">
        <v>648</v>
      </c>
      <c r="F180" s="462">
        <v>30</v>
      </c>
      <c r="K180" s="463"/>
    </row>
    <row r="181" spans="1:76" ht="13.5">
      <c r="A181" s="454" t="s">
        <v>820</v>
      </c>
      <c r="B181" s="455" t="s">
        <v>1178</v>
      </c>
      <c r="C181" s="428" t="s">
        <v>1179</v>
      </c>
      <c r="D181" s="424"/>
      <c r="E181" s="455" t="s">
        <v>40</v>
      </c>
      <c r="F181" s="456">
        <v>28.4</v>
      </c>
      <c r="G181" s="456">
        <v>0</v>
      </c>
      <c r="H181" s="456">
        <f>F181*AO181</f>
        <v>0</v>
      </c>
      <c r="I181" s="456">
        <f>F181*AP181</f>
        <v>0</v>
      </c>
      <c r="J181" s="456">
        <f>F181*G181</f>
        <v>0</v>
      </c>
      <c r="K181" s="457" t="s">
        <v>1410</v>
      </c>
      <c r="Z181" s="456">
        <f>IF(AQ181="5",BJ181,0)</f>
        <v>0</v>
      </c>
      <c r="AB181" s="456">
        <f>IF(AQ181="1",BH181,0)</f>
        <v>0</v>
      </c>
      <c r="AC181" s="456">
        <f>IF(AQ181="1",BI181,0)</f>
        <v>0</v>
      </c>
      <c r="AD181" s="456">
        <f>IF(AQ181="7",BH181,0)</f>
        <v>0</v>
      </c>
      <c r="AE181" s="456">
        <f>IF(AQ181="7",BI181,0)</f>
        <v>0</v>
      </c>
      <c r="AF181" s="456">
        <f>IF(AQ181="2",BH181,0)</f>
        <v>0</v>
      </c>
      <c r="AG181" s="456">
        <f>IF(AQ181="2",BI181,0)</f>
        <v>0</v>
      </c>
      <c r="AH181" s="456">
        <f>IF(AQ181="0",BJ181,0)</f>
        <v>0</v>
      </c>
      <c r="AI181" s="438" t="s">
        <v>648</v>
      </c>
      <c r="AJ181" s="456">
        <f>IF(AN181=0,J181,0)</f>
        <v>0</v>
      </c>
      <c r="AK181" s="456">
        <f>IF(AN181=12,J181,0)</f>
        <v>0</v>
      </c>
      <c r="AL181" s="456">
        <f>IF(AN181=21,J181,0)</f>
        <v>0</v>
      </c>
      <c r="AN181" s="456">
        <v>21</v>
      </c>
      <c r="AO181" s="456">
        <f>G181*0</f>
        <v>0</v>
      </c>
      <c r="AP181" s="456">
        <f>G181*(1-0)</f>
        <v>0</v>
      </c>
      <c r="AQ181" s="458" t="s">
        <v>679</v>
      </c>
      <c r="AV181" s="456">
        <f>AW181+AX181</f>
        <v>0</v>
      </c>
      <c r="AW181" s="456">
        <f>F181*AO181</f>
        <v>0</v>
      </c>
      <c r="AX181" s="456">
        <f>F181*AP181</f>
        <v>0</v>
      </c>
      <c r="AY181" s="458" t="s">
        <v>1167</v>
      </c>
      <c r="AZ181" s="458" t="s">
        <v>1168</v>
      </c>
      <c r="BA181" s="438" t="s">
        <v>656</v>
      </c>
      <c r="BC181" s="456">
        <f>AW181+AX181</f>
        <v>0</v>
      </c>
      <c r="BD181" s="456">
        <f>G181/(100-BE181)*100</f>
        <v>0</v>
      </c>
      <c r="BE181" s="456">
        <v>0</v>
      </c>
      <c r="BF181" s="456">
        <f>181</f>
        <v>181</v>
      </c>
      <c r="BH181" s="456">
        <f>F181*AO181</f>
        <v>0</v>
      </c>
      <c r="BI181" s="456">
        <f>F181*AP181</f>
        <v>0</v>
      </c>
      <c r="BJ181" s="456">
        <f>F181*G181</f>
        <v>0</v>
      </c>
      <c r="BK181" s="456"/>
      <c r="BL181" s="456">
        <v>771</v>
      </c>
      <c r="BW181" s="456">
        <v>21</v>
      </c>
      <c r="BX181" s="459" t="s">
        <v>1179</v>
      </c>
    </row>
    <row r="182" spans="1:76" ht="13.5">
      <c r="A182" s="460"/>
      <c r="C182" s="461" t="s">
        <v>1145</v>
      </c>
      <c r="D182" s="461" t="s">
        <v>648</v>
      </c>
      <c r="F182" s="462">
        <v>9.9</v>
      </c>
      <c r="K182" s="463"/>
    </row>
    <row r="183" spans="1:76" ht="13.5">
      <c r="A183" s="460"/>
      <c r="C183" s="461" t="s">
        <v>1146</v>
      </c>
      <c r="D183" s="461" t="s">
        <v>648</v>
      </c>
      <c r="F183" s="462">
        <v>18.5</v>
      </c>
      <c r="K183" s="463"/>
    </row>
    <row r="184" spans="1:76" ht="13.5">
      <c r="A184" s="448" t="s">
        <v>648</v>
      </c>
      <c r="B184" s="449" t="s">
        <v>1180</v>
      </c>
      <c r="C184" s="450" t="s">
        <v>1181</v>
      </c>
      <c r="D184" s="451"/>
      <c r="E184" s="452" t="s">
        <v>607</v>
      </c>
      <c r="F184" s="452" t="s">
        <v>607</v>
      </c>
      <c r="G184" s="452" t="s">
        <v>607</v>
      </c>
      <c r="H184" s="416">
        <f>SUM(H185:H185)</f>
        <v>0</v>
      </c>
      <c r="I184" s="416">
        <f>SUM(I185:I185)</f>
        <v>0</v>
      </c>
      <c r="J184" s="416">
        <f>SUM(J185:J185)</f>
        <v>0</v>
      </c>
      <c r="K184" s="453" t="s">
        <v>648</v>
      </c>
      <c r="AI184" s="438" t="s">
        <v>648</v>
      </c>
      <c r="AS184" s="416">
        <f>SUM(AJ185:AJ185)</f>
        <v>0</v>
      </c>
      <c r="AT184" s="416">
        <f>SUM(AK185:AK185)</f>
        <v>0</v>
      </c>
      <c r="AU184" s="416">
        <f>SUM(AL185:AL185)</f>
        <v>0</v>
      </c>
    </row>
    <row r="185" spans="1:76" ht="13.5">
      <c r="A185" s="454" t="s">
        <v>834</v>
      </c>
      <c r="B185" s="455" t="s">
        <v>1182</v>
      </c>
      <c r="C185" s="428" t="s">
        <v>1446</v>
      </c>
      <c r="D185" s="424"/>
      <c r="E185" s="455" t="s">
        <v>40</v>
      </c>
      <c r="F185" s="456">
        <v>8.8559999999999999</v>
      </c>
      <c r="G185" s="456">
        <v>0</v>
      </c>
      <c r="H185" s="456">
        <f>F185*AO185</f>
        <v>0</v>
      </c>
      <c r="I185" s="456">
        <f>F185*AP185</f>
        <v>0</v>
      </c>
      <c r="J185" s="456">
        <f>F185*G185</f>
        <v>0</v>
      </c>
      <c r="K185" s="457" t="s">
        <v>648</v>
      </c>
      <c r="Z185" s="456">
        <f>IF(AQ185="5",BJ185,0)</f>
        <v>0</v>
      </c>
      <c r="AB185" s="456">
        <f>IF(AQ185="1",BH185,0)</f>
        <v>0</v>
      </c>
      <c r="AC185" s="456">
        <f>IF(AQ185="1",BI185,0)</f>
        <v>0</v>
      </c>
      <c r="AD185" s="456">
        <f>IF(AQ185="7",BH185,0)</f>
        <v>0</v>
      </c>
      <c r="AE185" s="456">
        <f>IF(AQ185="7",BI185,0)</f>
        <v>0</v>
      </c>
      <c r="AF185" s="456">
        <f>IF(AQ185="2",BH185,0)</f>
        <v>0</v>
      </c>
      <c r="AG185" s="456">
        <f>IF(AQ185="2",BI185,0)</f>
        <v>0</v>
      </c>
      <c r="AH185" s="456">
        <f>IF(AQ185="0",BJ185,0)</f>
        <v>0</v>
      </c>
      <c r="AI185" s="438" t="s">
        <v>648</v>
      </c>
      <c r="AJ185" s="456">
        <f>IF(AN185=0,J185,0)</f>
        <v>0</v>
      </c>
      <c r="AK185" s="456">
        <f>IF(AN185=12,J185,0)</f>
        <v>0</v>
      </c>
      <c r="AL185" s="456">
        <f>IF(AN185=21,J185,0)</f>
        <v>0</v>
      </c>
      <c r="AN185" s="456">
        <v>21</v>
      </c>
      <c r="AO185" s="456">
        <f>G185*0.595238095</f>
        <v>0</v>
      </c>
      <c r="AP185" s="456">
        <f>G185*(1-0.595238095)</f>
        <v>0</v>
      </c>
      <c r="AQ185" s="458" t="s">
        <v>679</v>
      </c>
      <c r="AV185" s="456">
        <f>AW185+AX185</f>
        <v>0</v>
      </c>
      <c r="AW185" s="456">
        <f>F185*AO185</f>
        <v>0</v>
      </c>
      <c r="AX185" s="456">
        <f>F185*AP185</f>
        <v>0</v>
      </c>
      <c r="AY185" s="458" t="s">
        <v>1183</v>
      </c>
      <c r="AZ185" s="458" t="s">
        <v>1184</v>
      </c>
      <c r="BA185" s="438" t="s">
        <v>656</v>
      </c>
      <c r="BC185" s="456">
        <f>AW185+AX185</f>
        <v>0</v>
      </c>
      <c r="BD185" s="456">
        <f>G185/(100-BE185)*100</f>
        <v>0</v>
      </c>
      <c r="BE185" s="456">
        <v>0</v>
      </c>
      <c r="BF185" s="456">
        <f>185</f>
        <v>185</v>
      </c>
      <c r="BH185" s="456">
        <f>F185*AO185</f>
        <v>0</v>
      </c>
      <c r="BI185" s="456">
        <f>F185*AP185</f>
        <v>0</v>
      </c>
      <c r="BJ185" s="456">
        <f>F185*G185</f>
        <v>0</v>
      </c>
      <c r="BK185" s="456"/>
      <c r="BL185" s="456">
        <v>781</v>
      </c>
      <c r="BW185" s="456">
        <v>21</v>
      </c>
      <c r="BX185" s="459" t="s">
        <v>1446</v>
      </c>
    </row>
    <row r="186" spans="1:76" ht="13.5">
      <c r="A186" s="460"/>
      <c r="C186" s="461" t="s">
        <v>1447</v>
      </c>
      <c r="D186" s="461" t="s">
        <v>648</v>
      </c>
      <c r="F186" s="462">
        <v>8.8559999999999999</v>
      </c>
      <c r="K186" s="463"/>
    </row>
    <row r="187" spans="1:76" ht="13.5">
      <c r="A187" s="460"/>
      <c r="C187" s="461" t="s">
        <v>1448</v>
      </c>
      <c r="D187" s="461" t="s">
        <v>648</v>
      </c>
      <c r="F187" s="462">
        <v>0</v>
      </c>
      <c r="K187" s="463"/>
    </row>
    <row r="188" spans="1:76" ht="13.5">
      <c r="A188" s="460"/>
      <c r="C188" s="461" t="s">
        <v>1449</v>
      </c>
      <c r="D188" s="461" t="s">
        <v>648</v>
      </c>
      <c r="F188" s="462">
        <v>0</v>
      </c>
      <c r="K188" s="463"/>
    </row>
    <row r="189" spans="1:76" ht="13.5">
      <c r="A189" s="448" t="s">
        <v>648</v>
      </c>
      <c r="B189" s="449" t="s">
        <v>1185</v>
      </c>
      <c r="C189" s="450" t="s">
        <v>1186</v>
      </c>
      <c r="D189" s="451"/>
      <c r="E189" s="452" t="s">
        <v>607</v>
      </c>
      <c r="F189" s="452" t="s">
        <v>607</v>
      </c>
      <c r="G189" s="452" t="s">
        <v>607</v>
      </c>
      <c r="H189" s="416">
        <f>SUM(H190:H200)</f>
        <v>0</v>
      </c>
      <c r="I189" s="416">
        <f>SUM(I190:I200)</f>
        <v>0</v>
      </c>
      <c r="J189" s="416">
        <f>SUM(J190:J200)</f>
        <v>0</v>
      </c>
      <c r="K189" s="453" t="s">
        <v>648</v>
      </c>
      <c r="AI189" s="438" t="s">
        <v>648</v>
      </c>
      <c r="AS189" s="416">
        <f>SUM(AJ190:AJ200)</f>
        <v>0</v>
      </c>
      <c r="AT189" s="416">
        <f>SUM(AK190:AK200)</f>
        <v>0</v>
      </c>
      <c r="AU189" s="416">
        <f>SUM(AL190:AL200)</f>
        <v>0</v>
      </c>
    </row>
    <row r="190" spans="1:76" ht="13.5">
      <c r="A190" s="454" t="s">
        <v>892</v>
      </c>
      <c r="B190" s="455" t="s">
        <v>1187</v>
      </c>
      <c r="C190" s="428" t="s">
        <v>1188</v>
      </c>
      <c r="D190" s="424"/>
      <c r="E190" s="455" t="s">
        <v>40</v>
      </c>
      <c r="F190" s="456">
        <v>11.138999999999999</v>
      </c>
      <c r="G190" s="456">
        <v>0</v>
      </c>
      <c r="H190" s="456">
        <f>F190*AO190</f>
        <v>0</v>
      </c>
      <c r="I190" s="456">
        <f>F190*AP190</f>
        <v>0</v>
      </c>
      <c r="J190" s="456">
        <f>F190*G190</f>
        <v>0</v>
      </c>
      <c r="K190" s="457" t="s">
        <v>1410</v>
      </c>
      <c r="Z190" s="456">
        <f>IF(AQ190="5",BJ190,0)</f>
        <v>0</v>
      </c>
      <c r="AB190" s="456">
        <f>IF(AQ190="1",BH190,0)</f>
        <v>0</v>
      </c>
      <c r="AC190" s="456">
        <f>IF(AQ190="1",BI190,0)</f>
        <v>0</v>
      </c>
      <c r="AD190" s="456">
        <f>IF(AQ190="7",BH190,0)</f>
        <v>0</v>
      </c>
      <c r="AE190" s="456">
        <f>IF(AQ190="7",BI190,0)</f>
        <v>0</v>
      </c>
      <c r="AF190" s="456">
        <f>IF(AQ190="2",BH190,0)</f>
        <v>0</v>
      </c>
      <c r="AG190" s="456">
        <f>IF(AQ190="2",BI190,0)</f>
        <v>0</v>
      </c>
      <c r="AH190" s="456">
        <f>IF(AQ190="0",BJ190,0)</f>
        <v>0</v>
      </c>
      <c r="AI190" s="438" t="s">
        <v>648</v>
      </c>
      <c r="AJ190" s="456">
        <f>IF(AN190=0,J190,0)</f>
        <v>0</v>
      </c>
      <c r="AK190" s="456">
        <f>IF(AN190=12,J190,0)</f>
        <v>0</v>
      </c>
      <c r="AL190" s="456">
        <f>IF(AN190=21,J190,0)</f>
        <v>0</v>
      </c>
      <c r="AN190" s="456">
        <v>21</v>
      </c>
      <c r="AO190" s="456">
        <f>G190*0.289127894</f>
        <v>0</v>
      </c>
      <c r="AP190" s="456">
        <f>G190*(1-0.289127894)</f>
        <v>0</v>
      </c>
      <c r="AQ190" s="458" t="s">
        <v>679</v>
      </c>
      <c r="AV190" s="456">
        <f>AW190+AX190</f>
        <v>0</v>
      </c>
      <c r="AW190" s="456">
        <f>F190*AO190</f>
        <v>0</v>
      </c>
      <c r="AX190" s="456">
        <f>F190*AP190</f>
        <v>0</v>
      </c>
      <c r="AY190" s="458" t="s">
        <v>1189</v>
      </c>
      <c r="AZ190" s="458" t="s">
        <v>1184</v>
      </c>
      <c r="BA190" s="438" t="s">
        <v>656</v>
      </c>
      <c r="BC190" s="456">
        <f>AW190+AX190</f>
        <v>0</v>
      </c>
      <c r="BD190" s="456">
        <f>G190/(100-BE190)*100</f>
        <v>0</v>
      </c>
      <c r="BE190" s="456">
        <v>0</v>
      </c>
      <c r="BF190" s="456">
        <f>190</f>
        <v>190</v>
      </c>
      <c r="BH190" s="456">
        <f>F190*AO190</f>
        <v>0</v>
      </c>
      <c r="BI190" s="456">
        <f>F190*AP190</f>
        <v>0</v>
      </c>
      <c r="BJ190" s="456">
        <f>F190*G190</f>
        <v>0</v>
      </c>
      <c r="BK190" s="456"/>
      <c r="BL190" s="456">
        <v>783</v>
      </c>
      <c r="BW190" s="456">
        <v>21</v>
      </c>
      <c r="BX190" s="459" t="s">
        <v>1188</v>
      </c>
    </row>
    <row r="191" spans="1:76" ht="13.5">
      <c r="A191" s="460"/>
      <c r="C191" s="461" t="s">
        <v>1190</v>
      </c>
      <c r="D191" s="461" t="s">
        <v>648</v>
      </c>
      <c r="F191" s="462">
        <v>11.138999999999999</v>
      </c>
      <c r="K191" s="463"/>
    </row>
    <row r="192" spans="1:76" ht="13.5">
      <c r="A192" s="454" t="s">
        <v>847</v>
      </c>
      <c r="B192" s="455" t="s">
        <v>1191</v>
      </c>
      <c r="C192" s="428" t="s">
        <v>1192</v>
      </c>
      <c r="D192" s="424"/>
      <c r="E192" s="455" t="s">
        <v>40</v>
      </c>
      <c r="F192" s="456">
        <v>4.6500000000000004</v>
      </c>
      <c r="G192" s="456">
        <v>0</v>
      </c>
      <c r="H192" s="456">
        <f>F192*AO192</f>
        <v>0</v>
      </c>
      <c r="I192" s="456">
        <f>F192*AP192</f>
        <v>0</v>
      </c>
      <c r="J192" s="456">
        <f>F192*G192</f>
        <v>0</v>
      </c>
      <c r="K192" s="457" t="s">
        <v>1410</v>
      </c>
      <c r="Z192" s="456">
        <f>IF(AQ192="5",BJ192,0)</f>
        <v>0</v>
      </c>
      <c r="AB192" s="456">
        <f>IF(AQ192="1",BH192,0)</f>
        <v>0</v>
      </c>
      <c r="AC192" s="456">
        <f>IF(AQ192="1",BI192,0)</f>
        <v>0</v>
      </c>
      <c r="AD192" s="456">
        <f>IF(AQ192="7",BH192,0)</f>
        <v>0</v>
      </c>
      <c r="AE192" s="456">
        <f>IF(AQ192="7",BI192,0)</f>
        <v>0</v>
      </c>
      <c r="AF192" s="456">
        <f>IF(AQ192="2",BH192,0)</f>
        <v>0</v>
      </c>
      <c r="AG192" s="456">
        <f>IF(AQ192="2",BI192,0)</f>
        <v>0</v>
      </c>
      <c r="AH192" s="456">
        <f>IF(AQ192="0",BJ192,0)</f>
        <v>0</v>
      </c>
      <c r="AI192" s="438" t="s">
        <v>648</v>
      </c>
      <c r="AJ192" s="456">
        <f>IF(AN192=0,J192,0)</f>
        <v>0</v>
      </c>
      <c r="AK192" s="456">
        <f>IF(AN192=12,J192,0)</f>
        <v>0</v>
      </c>
      <c r="AL192" s="456">
        <f>IF(AN192=21,J192,0)</f>
        <v>0</v>
      </c>
      <c r="AN192" s="456">
        <v>21</v>
      </c>
      <c r="AO192" s="456">
        <f>G192*0.073787967</f>
        <v>0</v>
      </c>
      <c r="AP192" s="456">
        <f>G192*(1-0.073787967)</f>
        <v>0</v>
      </c>
      <c r="AQ192" s="458" t="s">
        <v>679</v>
      </c>
      <c r="AV192" s="456">
        <f>AW192+AX192</f>
        <v>0</v>
      </c>
      <c r="AW192" s="456">
        <f>F192*AO192</f>
        <v>0</v>
      </c>
      <c r="AX192" s="456">
        <f>F192*AP192</f>
        <v>0</v>
      </c>
      <c r="AY192" s="458" t="s">
        <v>1189</v>
      </c>
      <c r="AZ192" s="458" t="s">
        <v>1184</v>
      </c>
      <c r="BA192" s="438" t="s">
        <v>656</v>
      </c>
      <c r="BC192" s="456">
        <f>AW192+AX192</f>
        <v>0</v>
      </c>
      <c r="BD192" s="456">
        <f>G192/(100-BE192)*100</f>
        <v>0</v>
      </c>
      <c r="BE192" s="456">
        <v>0</v>
      </c>
      <c r="BF192" s="456">
        <f>192</f>
        <v>192</v>
      </c>
      <c r="BH192" s="456">
        <f>F192*AO192</f>
        <v>0</v>
      </c>
      <c r="BI192" s="456">
        <f>F192*AP192</f>
        <v>0</v>
      </c>
      <c r="BJ192" s="456">
        <f>F192*G192</f>
        <v>0</v>
      </c>
      <c r="BK192" s="456"/>
      <c r="BL192" s="456">
        <v>783</v>
      </c>
      <c r="BW192" s="456">
        <v>21</v>
      </c>
      <c r="BX192" s="459" t="s">
        <v>1192</v>
      </c>
    </row>
    <row r="193" spans="1:76" ht="13.5">
      <c r="A193" s="460"/>
      <c r="C193" s="461" t="s">
        <v>1193</v>
      </c>
      <c r="D193" s="461" t="s">
        <v>648</v>
      </c>
      <c r="F193" s="462">
        <v>4.6500000000000004</v>
      </c>
      <c r="K193" s="463"/>
    </row>
    <row r="194" spans="1:76" ht="13.5">
      <c r="A194" s="454" t="s">
        <v>897</v>
      </c>
      <c r="B194" s="455" t="s">
        <v>1194</v>
      </c>
      <c r="C194" s="428" t="s">
        <v>1195</v>
      </c>
      <c r="D194" s="424"/>
      <c r="E194" s="455" t="s">
        <v>40</v>
      </c>
      <c r="F194" s="456">
        <v>4.6500000000000004</v>
      </c>
      <c r="G194" s="456">
        <v>0</v>
      </c>
      <c r="H194" s="456">
        <f>F194*AO194</f>
        <v>0</v>
      </c>
      <c r="I194" s="456">
        <f>F194*AP194</f>
        <v>0</v>
      </c>
      <c r="J194" s="456">
        <f>F194*G194</f>
        <v>0</v>
      </c>
      <c r="K194" s="457" t="s">
        <v>1410</v>
      </c>
      <c r="Z194" s="456">
        <f>IF(AQ194="5",BJ194,0)</f>
        <v>0</v>
      </c>
      <c r="AB194" s="456">
        <f>IF(AQ194="1",BH194,0)</f>
        <v>0</v>
      </c>
      <c r="AC194" s="456">
        <f>IF(AQ194="1",BI194,0)</f>
        <v>0</v>
      </c>
      <c r="AD194" s="456">
        <f>IF(AQ194="7",BH194,0)</f>
        <v>0</v>
      </c>
      <c r="AE194" s="456">
        <f>IF(AQ194="7",BI194,0)</f>
        <v>0</v>
      </c>
      <c r="AF194" s="456">
        <f>IF(AQ194="2",BH194,0)</f>
        <v>0</v>
      </c>
      <c r="AG194" s="456">
        <f>IF(AQ194="2",BI194,0)</f>
        <v>0</v>
      </c>
      <c r="AH194" s="456">
        <f>IF(AQ194="0",BJ194,0)</f>
        <v>0</v>
      </c>
      <c r="AI194" s="438" t="s">
        <v>648</v>
      </c>
      <c r="AJ194" s="456">
        <f>IF(AN194=0,J194,0)</f>
        <v>0</v>
      </c>
      <c r="AK194" s="456">
        <f>IF(AN194=12,J194,0)</f>
        <v>0</v>
      </c>
      <c r="AL194" s="456">
        <f>IF(AN194=21,J194,0)</f>
        <v>0</v>
      </c>
      <c r="AN194" s="456">
        <v>21</v>
      </c>
      <c r="AO194" s="456">
        <f>G194*0.101374016</f>
        <v>0</v>
      </c>
      <c r="AP194" s="456">
        <f>G194*(1-0.101374016)</f>
        <v>0</v>
      </c>
      <c r="AQ194" s="458" t="s">
        <v>679</v>
      </c>
      <c r="AV194" s="456">
        <f>AW194+AX194</f>
        <v>0</v>
      </c>
      <c r="AW194" s="456">
        <f>F194*AO194</f>
        <v>0</v>
      </c>
      <c r="AX194" s="456">
        <f>F194*AP194</f>
        <v>0</v>
      </c>
      <c r="AY194" s="458" t="s">
        <v>1189</v>
      </c>
      <c r="AZ194" s="458" t="s">
        <v>1184</v>
      </c>
      <c r="BA194" s="438" t="s">
        <v>656</v>
      </c>
      <c r="BC194" s="456">
        <f>AW194+AX194</f>
        <v>0</v>
      </c>
      <c r="BD194" s="456">
        <f>G194/(100-BE194)*100</f>
        <v>0</v>
      </c>
      <c r="BE194" s="456">
        <v>0</v>
      </c>
      <c r="BF194" s="456">
        <f>194</f>
        <v>194</v>
      </c>
      <c r="BH194" s="456">
        <f>F194*AO194</f>
        <v>0</v>
      </c>
      <c r="BI194" s="456">
        <f>F194*AP194</f>
        <v>0</v>
      </c>
      <c r="BJ194" s="456">
        <f>F194*G194</f>
        <v>0</v>
      </c>
      <c r="BK194" s="456"/>
      <c r="BL194" s="456">
        <v>783</v>
      </c>
      <c r="BW194" s="456">
        <v>21</v>
      </c>
      <c r="BX194" s="459" t="s">
        <v>1195</v>
      </c>
    </row>
    <row r="195" spans="1:76" ht="13.5">
      <c r="A195" s="460"/>
      <c r="C195" s="461" t="s">
        <v>1196</v>
      </c>
      <c r="D195" s="461" t="s">
        <v>648</v>
      </c>
      <c r="F195" s="462">
        <v>4.6500000000000004</v>
      </c>
      <c r="K195" s="463"/>
    </row>
    <row r="196" spans="1:76" ht="13.5">
      <c r="A196" s="454" t="s">
        <v>901</v>
      </c>
      <c r="B196" s="455" t="s">
        <v>1197</v>
      </c>
      <c r="C196" s="428" t="s">
        <v>1198</v>
      </c>
      <c r="D196" s="424"/>
      <c r="E196" s="455" t="s">
        <v>40</v>
      </c>
      <c r="F196" s="456">
        <v>4.6500000000000004</v>
      </c>
      <c r="G196" s="456">
        <v>0</v>
      </c>
      <c r="H196" s="456">
        <f>F196*AO196</f>
        <v>0</v>
      </c>
      <c r="I196" s="456">
        <f>F196*AP196</f>
        <v>0</v>
      </c>
      <c r="J196" s="456">
        <f>F196*G196</f>
        <v>0</v>
      </c>
      <c r="K196" s="457" t="s">
        <v>1410</v>
      </c>
      <c r="Z196" s="456">
        <f>IF(AQ196="5",BJ196,0)</f>
        <v>0</v>
      </c>
      <c r="AB196" s="456">
        <f>IF(AQ196="1",BH196,0)</f>
        <v>0</v>
      </c>
      <c r="AC196" s="456">
        <f>IF(AQ196="1",BI196,0)</f>
        <v>0</v>
      </c>
      <c r="AD196" s="456">
        <f>IF(AQ196="7",BH196,0)</f>
        <v>0</v>
      </c>
      <c r="AE196" s="456">
        <f>IF(AQ196="7",BI196,0)</f>
        <v>0</v>
      </c>
      <c r="AF196" s="456">
        <f>IF(AQ196="2",BH196,0)</f>
        <v>0</v>
      </c>
      <c r="AG196" s="456">
        <f>IF(AQ196="2",BI196,0)</f>
        <v>0</v>
      </c>
      <c r="AH196" s="456">
        <f>IF(AQ196="0",BJ196,0)</f>
        <v>0</v>
      </c>
      <c r="AI196" s="438" t="s">
        <v>648</v>
      </c>
      <c r="AJ196" s="456">
        <f>IF(AN196=0,J196,0)</f>
        <v>0</v>
      </c>
      <c r="AK196" s="456">
        <f>IF(AN196=12,J196,0)</f>
        <v>0</v>
      </c>
      <c r="AL196" s="456">
        <f>IF(AN196=21,J196,0)</f>
        <v>0</v>
      </c>
      <c r="AN196" s="456">
        <v>21</v>
      </c>
      <c r="AO196" s="456">
        <f>G196*0.148467433</f>
        <v>0</v>
      </c>
      <c r="AP196" s="456">
        <f>G196*(1-0.148467433)</f>
        <v>0</v>
      </c>
      <c r="AQ196" s="458" t="s">
        <v>679</v>
      </c>
      <c r="AV196" s="456">
        <f>AW196+AX196</f>
        <v>0</v>
      </c>
      <c r="AW196" s="456">
        <f>F196*AO196</f>
        <v>0</v>
      </c>
      <c r="AX196" s="456">
        <f>F196*AP196</f>
        <v>0</v>
      </c>
      <c r="AY196" s="458" t="s">
        <v>1189</v>
      </c>
      <c r="AZ196" s="458" t="s">
        <v>1184</v>
      </c>
      <c r="BA196" s="438" t="s">
        <v>656</v>
      </c>
      <c r="BC196" s="456">
        <f>AW196+AX196</f>
        <v>0</v>
      </c>
      <c r="BD196" s="456">
        <f>G196/(100-BE196)*100</f>
        <v>0</v>
      </c>
      <c r="BE196" s="456">
        <v>0</v>
      </c>
      <c r="BF196" s="456">
        <f>196</f>
        <v>196</v>
      </c>
      <c r="BH196" s="456">
        <f>F196*AO196</f>
        <v>0</v>
      </c>
      <c r="BI196" s="456">
        <f>F196*AP196</f>
        <v>0</v>
      </c>
      <c r="BJ196" s="456">
        <f>F196*G196</f>
        <v>0</v>
      </c>
      <c r="BK196" s="456"/>
      <c r="BL196" s="456">
        <v>783</v>
      </c>
      <c r="BW196" s="456">
        <v>21</v>
      </c>
      <c r="BX196" s="459" t="s">
        <v>1198</v>
      </c>
    </row>
    <row r="197" spans="1:76" ht="13.5">
      <c r="A197" s="460"/>
      <c r="C197" s="461" t="s">
        <v>1196</v>
      </c>
      <c r="D197" s="461" t="s">
        <v>648</v>
      </c>
      <c r="F197" s="462">
        <v>4.6500000000000004</v>
      </c>
      <c r="K197" s="463"/>
    </row>
    <row r="198" spans="1:76" ht="13.5">
      <c r="A198" s="454" t="s">
        <v>908</v>
      </c>
      <c r="B198" s="455" t="s">
        <v>1199</v>
      </c>
      <c r="C198" s="428" t="s">
        <v>1200</v>
      </c>
      <c r="D198" s="424"/>
      <c r="E198" s="455" t="s">
        <v>40</v>
      </c>
      <c r="F198" s="456">
        <v>4.6500000000000004</v>
      </c>
      <c r="G198" s="456">
        <v>0</v>
      </c>
      <c r="H198" s="456">
        <f>F198*AO198</f>
        <v>0</v>
      </c>
      <c r="I198" s="456">
        <f>F198*AP198</f>
        <v>0</v>
      </c>
      <c r="J198" s="456">
        <f>F198*G198</f>
        <v>0</v>
      </c>
      <c r="K198" s="457" t="s">
        <v>1410</v>
      </c>
      <c r="Z198" s="456">
        <f>IF(AQ198="5",BJ198,0)</f>
        <v>0</v>
      </c>
      <c r="AB198" s="456">
        <f>IF(AQ198="1",BH198,0)</f>
        <v>0</v>
      </c>
      <c r="AC198" s="456">
        <f>IF(AQ198="1",BI198,0)</f>
        <v>0</v>
      </c>
      <c r="AD198" s="456">
        <f>IF(AQ198="7",BH198,0)</f>
        <v>0</v>
      </c>
      <c r="AE198" s="456">
        <f>IF(AQ198="7",BI198,0)</f>
        <v>0</v>
      </c>
      <c r="AF198" s="456">
        <f>IF(AQ198="2",BH198,0)</f>
        <v>0</v>
      </c>
      <c r="AG198" s="456">
        <f>IF(AQ198="2",BI198,0)</f>
        <v>0</v>
      </c>
      <c r="AH198" s="456">
        <f>IF(AQ198="0",BJ198,0)</f>
        <v>0</v>
      </c>
      <c r="AI198" s="438" t="s">
        <v>648</v>
      </c>
      <c r="AJ198" s="456">
        <f>IF(AN198=0,J198,0)</f>
        <v>0</v>
      </c>
      <c r="AK198" s="456">
        <f>IF(AN198=12,J198,0)</f>
        <v>0</v>
      </c>
      <c r="AL198" s="456">
        <f>IF(AN198=21,J198,0)</f>
        <v>0</v>
      </c>
      <c r="AN198" s="456">
        <v>21</v>
      </c>
      <c r="AO198" s="456">
        <f>G198*0.479214485</f>
        <v>0</v>
      </c>
      <c r="AP198" s="456">
        <f>G198*(1-0.479214485)</f>
        <v>0</v>
      </c>
      <c r="AQ198" s="458" t="s">
        <v>679</v>
      </c>
      <c r="AV198" s="456">
        <f>AW198+AX198</f>
        <v>0</v>
      </c>
      <c r="AW198" s="456">
        <f>F198*AO198</f>
        <v>0</v>
      </c>
      <c r="AX198" s="456">
        <f>F198*AP198</f>
        <v>0</v>
      </c>
      <c r="AY198" s="458" t="s">
        <v>1189</v>
      </c>
      <c r="AZ198" s="458" t="s">
        <v>1184</v>
      </c>
      <c r="BA198" s="438" t="s">
        <v>656</v>
      </c>
      <c r="BC198" s="456">
        <f>AW198+AX198</f>
        <v>0</v>
      </c>
      <c r="BD198" s="456">
        <f>G198/(100-BE198)*100</f>
        <v>0</v>
      </c>
      <c r="BE198" s="456">
        <v>0</v>
      </c>
      <c r="BF198" s="456">
        <f>198</f>
        <v>198</v>
      </c>
      <c r="BH198" s="456">
        <f>F198*AO198</f>
        <v>0</v>
      </c>
      <c r="BI198" s="456">
        <f>F198*AP198</f>
        <v>0</v>
      </c>
      <c r="BJ198" s="456">
        <f>F198*G198</f>
        <v>0</v>
      </c>
      <c r="BK198" s="456"/>
      <c r="BL198" s="456">
        <v>783</v>
      </c>
      <c r="BW198" s="456">
        <v>21</v>
      </c>
      <c r="BX198" s="459" t="s">
        <v>1200</v>
      </c>
    </row>
    <row r="199" spans="1:76" ht="13.5">
      <c r="A199" s="460"/>
      <c r="C199" s="461" t="s">
        <v>1201</v>
      </c>
      <c r="D199" s="461" t="s">
        <v>648</v>
      </c>
      <c r="F199" s="462">
        <v>4.6500000000000004</v>
      </c>
      <c r="K199" s="463"/>
    </row>
    <row r="200" spans="1:76" ht="13.5">
      <c r="A200" s="454" t="s">
        <v>911</v>
      </c>
      <c r="B200" s="455" t="s">
        <v>1202</v>
      </c>
      <c r="C200" s="428" t="s">
        <v>1203</v>
      </c>
      <c r="D200" s="424"/>
      <c r="E200" s="455" t="s">
        <v>40</v>
      </c>
      <c r="F200" s="456">
        <v>4.6500000000000004</v>
      </c>
      <c r="G200" s="456">
        <v>0</v>
      </c>
      <c r="H200" s="456">
        <f>F200*AO200</f>
        <v>0</v>
      </c>
      <c r="I200" s="456">
        <f>F200*AP200</f>
        <v>0</v>
      </c>
      <c r="J200" s="456">
        <f>F200*G200</f>
        <v>0</v>
      </c>
      <c r="K200" s="457" t="s">
        <v>1410</v>
      </c>
      <c r="Z200" s="456">
        <f>IF(AQ200="5",BJ200,0)</f>
        <v>0</v>
      </c>
      <c r="AB200" s="456">
        <f>IF(AQ200="1",BH200,0)</f>
        <v>0</v>
      </c>
      <c r="AC200" s="456">
        <f>IF(AQ200="1",BI200,0)</f>
        <v>0</v>
      </c>
      <c r="AD200" s="456">
        <f>IF(AQ200="7",BH200,0)</f>
        <v>0</v>
      </c>
      <c r="AE200" s="456">
        <f>IF(AQ200="7",BI200,0)</f>
        <v>0</v>
      </c>
      <c r="AF200" s="456">
        <f>IF(AQ200="2",BH200,0)</f>
        <v>0</v>
      </c>
      <c r="AG200" s="456">
        <f>IF(AQ200="2",BI200,0)</f>
        <v>0</v>
      </c>
      <c r="AH200" s="456">
        <f>IF(AQ200="0",BJ200,0)</f>
        <v>0</v>
      </c>
      <c r="AI200" s="438" t="s">
        <v>648</v>
      </c>
      <c r="AJ200" s="456">
        <f>IF(AN200=0,J200,0)</f>
        <v>0</v>
      </c>
      <c r="AK200" s="456">
        <f>IF(AN200=12,J200,0)</f>
        <v>0</v>
      </c>
      <c r="AL200" s="456">
        <f>IF(AN200=21,J200,0)</f>
        <v>0</v>
      </c>
      <c r="AN200" s="456">
        <v>21</v>
      </c>
      <c r="AO200" s="456">
        <f>G200*0.589288408</f>
        <v>0</v>
      </c>
      <c r="AP200" s="456">
        <f>G200*(1-0.589288408)</f>
        <v>0</v>
      </c>
      <c r="AQ200" s="458" t="s">
        <v>679</v>
      </c>
      <c r="AV200" s="456">
        <f>AW200+AX200</f>
        <v>0</v>
      </c>
      <c r="AW200" s="456">
        <f>F200*AO200</f>
        <v>0</v>
      </c>
      <c r="AX200" s="456">
        <f>F200*AP200</f>
        <v>0</v>
      </c>
      <c r="AY200" s="458" t="s">
        <v>1189</v>
      </c>
      <c r="AZ200" s="458" t="s">
        <v>1184</v>
      </c>
      <c r="BA200" s="438" t="s">
        <v>656</v>
      </c>
      <c r="BC200" s="456">
        <f>AW200+AX200</f>
        <v>0</v>
      </c>
      <c r="BD200" s="456">
        <f>G200/(100-BE200)*100</f>
        <v>0</v>
      </c>
      <c r="BE200" s="456">
        <v>0</v>
      </c>
      <c r="BF200" s="456">
        <f>200</f>
        <v>200</v>
      </c>
      <c r="BH200" s="456">
        <f>F200*AO200</f>
        <v>0</v>
      </c>
      <c r="BI200" s="456">
        <f>F200*AP200</f>
        <v>0</v>
      </c>
      <c r="BJ200" s="456">
        <f>F200*G200</f>
        <v>0</v>
      </c>
      <c r="BK200" s="456"/>
      <c r="BL200" s="456">
        <v>783</v>
      </c>
      <c r="BW200" s="456">
        <v>21</v>
      </c>
      <c r="BX200" s="459" t="s">
        <v>1203</v>
      </c>
    </row>
    <row r="201" spans="1:76" ht="13.5">
      <c r="A201" s="460"/>
      <c r="C201" s="461" t="s">
        <v>1201</v>
      </c>
      <c r="D201" s="461" t="s">
        <v>648</v>
      </c>
      <c r="F201" s="462">
        <v>4.6500000000000004</v>
      </c>
      <c r="K201" s="463"/>
    </row>
    <row r="202" spans="1:76" ht="13.5">
      <c r="A202" s="448" t="s">
        <v>648</v>
      </c>
      <c r="B202" s="449" t="s">
        <v>1204</v>
      </c>
      <c r="C202" s="450" t="s">
        <v>1205</v>
      </c>
      <c r="D202" s="451"/>
      <c r="E202" s="452" t="s">
        <v>607</v>
      </c>
      <c r="F202" s="452" t="s">
        <v>607</v>
      </c>
      <c r="G202" s="452" t="s">
        <v>607</v>
      </c>
      <c r="H202" s="416">
        <f>SUM(H203:H207)</f>
        <v>0</v>
      </c>
      <c r="I202" s="416">
        <f>SUM(I203:I207)</f>
        <v>0</v>
      </c>
      <c r="J202" s="416">
        <f>SUM(J203:J207)</f>
        <v>0</v>
      </c>
      <c r="K202" s="453" t="s">
        <v>648</v>
      </c>
      <c r="AI202" s="438" t="s">
        <v>648</v>
      </c>
      <c r="AS202" s="416">
        <f>SUM(AJ203:AJ207)</f>
        <v>0</v>
      </c>
      <c r="AT202" s="416">
        <f>SUM(AK203:AK207)</f>
        <v>0</v>
      </c>
      <c r="AU202" s="416">
        <f>SUM(AL203:AL207)</f>
        <v>0</v>
      </c>
    </row>
    <row r="203" spans="1:76" ht="13.5">
      <c r="A203" s="454" t="s">
        <v>914</v>
      </c>
      <c r="B203" s="455" t="s">
        <v>1206</v>
      </c>
      <c r="C203" s="428" t="s">
        <v>1207</v>
      </c>
      <c r="D203" s="424"/>
      <c r="E203" s="455" t="s">
        <v>40</v>
      </c>
      <c r="F203" s="456">
        <v>57.994999999999997</v>
      </c>
      <c r="G203" s="456">
        <v>0</v>
      </c>
      <c r="H203" s="456">
        <f>F203*AO203</f>
        <v>0</v>
      </c>
      <c r="I203" s="456">
        <f>F203*AP203</f>
        <v>0</v>
      </c>
      <c r="J203" s="456">
        <f>F203*G203</f>
        <v>0</v>
      </c>
      <c r="K203" s="457" t="s">
        <v>1410</v>
      </c>
      <c r="Z203" s="456">
        <f>IF(AQ203="5",BJ203,0)</f>
        <v>0</v>
      </c>
      <c r="AB203" s="456">
        <f>IF(AQ203="1",BH203,0)</f>
        <v>0</v>
      </c>
      <c r="AC203" s="456">
        <f>IF(AQ203="1",BI203,0)</f>
        <v>0</v>
      </c>
      <c r="AD203" s="456">
        <f>IF(AQ203="7",BH203,0)</f>
        <v>0</v>
      </c>
      <c r="AE203" s="456">
        <f>IF(AQ203="7",BI203,0)</f>
        <v>0</v>
      </c>
      <c r="AF203" s="456">
        <f>IF(AQ203="2",BH203,0)</f>
        <v>0</v>
      </c>
      <c r="AG203" s="456">
        <f>IF(AQ203="2",BI203,0)</f>
        <v>0</v>
      </c>
      <c r="AH203" s="456">
        <f>IF(AQ203="0",BJ203,0)</f>
        <v>0</v>
      </c>
      <c r="AI203" s="438" t="s">
        <v>648</v>
      </c>
      <c r="AJ203" s="456">
        <f>IF(AN203=0,J203,0)</f>
        <v>0</v>
      </c>
      <c r="AK203" s="456">
        <f>IF(AN203=12,J203,0)</f>
        <v>0</v>
      </c>
      <c r="AL203" s="456">
        <f>IF(AN203=21,J203,0)</f>
        <v>0</v>
      </c>
      <c r="AN203" s="456">
        <v>21</v>
      </c>
      <c r="AO203" s="456">
        <f>G203*0.423040862</f>
        <v>0</v>
      </c>
      <c r="AP203" s="456">
        <f>G203*(1-0.423040862)</f>
        <v>0</v>
      </c>
      <c r="AQ203" s="458" t="s">
        <v>679</v>
      </c>
      <c r="AV203" s="456">
        <f>AW203+AX203</f>
        <v>0</v>
      </c>
      <c r="AW203" s="456">
        <f>F203*AO203</f>
        <v>0</v>
      </c>
      <c r="AX203" s="456">
        <f>F203*AP203</f>
        <v>0</v>
      </c>
      <c r="AY203" s="458" t="s">
        <v>1208</v>
      </c>
      <c r="AZ203" s="458" t="s">
        <v>1184</v>
      </c>
      <c r="BA203" s="438" t="s">
        <v>656</v>
      </c>
      <c r="BC203" s="456">
        <f>AW203+AX203</f>
        <v>0</v>
      </c>
      <c r="BD203" s="456">
        <f>G203/(100-BE203)*100</f>
        <v>0</v>
      </c>
      <c r="BE203" s="456">
        <v>0</v>
      </c>
      <c r="BF203" s="456">
        <f>203</f>
        <v>203</v>
      </c>
      <c r="BH203" s="456">
        <f>F203*AO203</f>
        <v>0</v>
      </c>
      <c r="BI203" s="456">
        <f>F203*AP203</f>
        <v>0</v>
      </c>
      <c r="BJ203" s="456">
        <f>F203*G203</f>
        <v>0</v>
      </c>
      <c r="BK203" s="456"/>
      <c r="BL203" s="456">
        <v>784</v>
      </c>
      <c r="BW203" s="456">
        <v>21</v>
      </c>
      <c r="BX203" s="459" t="s">
        <v>1207</v>
      </c>
    </row>
    <row r="204" spans="1:76" ht="13.5">
      <c r="A204" s="460"/>
      <c r="C204" s="461" t="s">
        <v>1209</v>
      </c>
      <c r="D204" s="461" t="s">
        <v>648</v>
      </c>
      <c r="F204" s="462">
        <v>29.594999999999999</v>
      </c>
      <c r="K204" s="463"/>
    </row>
    <row r="205" spans="1:76" ht="13.5">
      <c r="A205" s="460"/>
      <c r="C205" s="461" t="s">
        <v>1210</v>
      </c>
      <c r="D205" s="461" t="s">
        <v>648</v>
      </c>
      <c r="F205" s="462">
        <v>28.4</v>
      </c>
      <c r="K205" s="463"/>
    </row>
    <row r="206" spans="1:76" ht="13.5">
      <c r="A206" s="460"/>
      <c r="C206" s="461" t="s">
        <v>1211</v>
      </c>
      <c r="D206" s="461" t="s">
        <v>648</v>
      </c>
      <c r="F206" s="462">
        <v>0</v>
      </c>
      <c r="K206" s="463"/>
    </row>
    <row r="207" spans="1:76" ht="13.5">
      <c r="A207" s="454" t="s">
        <v>918</v>
      </c>
      <c r="B207" s="455" t="s">
        <v>1212</v>
      </c>
      <c r="C207" s="428" t="s">
        <v>1213</v>
      </c>
      <c r="D207" s="424"/>
      <c r="E207" s="455" t="s">
        <v>40</v>
      </c>
      <c r="F207" s="456">
        <v>57.994999999999997</v>
      </c>
      <c r="G207" s="456">
        <v>0</v>
      </c>
      <c r="H207" s="456">
        <f>F207*AO207</f>
        <v>0</v>
      </c>
      <c r="I207" s="456">
        <f>F207*AP207</f>
        <v>0</v>
      </c>
      <c r="J207" s="456">
        <f>F207*G207</f>
        <v>0</v>
      </c>
      <c r="K207" s="457" t="s">
        <v>1410</v>
      </c>
      <c r="Z207" s="456">
        <f>IF(AQ207="5",BJ207,0)</f>
        <v>0</v>
      </c>
      <c r="AB207" s="456">
        <f>IF(AQ207="1",BH207,0)</f>
        <v>0</v>
      </c>
      <c r="AC207" s="456">
        <f>IF(AQ207="1",BI207,0)</f>
        <v>0</v>
      </c>
      <c r="AD207" s="456">
        <f>IF(AQ207="7",BH207,0)</f>
        <v>0</v>
      </c>
      <c r="AE207" s="456">
        <f>IF(AQ207="7",BI207,0)</f>
        <v>0</v>
      </c>
      <c r="AF207" s="456">
        <f>IF(AQ207="2",BH207,0)</f>
        <v>0</v>
      </c>
      <c r="AG207" s="456">
        <f>IF(AQ207="2",BI207,0)</f>
        <v>0</v>
      </c>
      <c r="AH207" s="456">
        <f>IF(AQ207="0",BJ207,0)</f>
        <v>0</v>
      </c>
      <c r="AI207" s="438" t="s">
        <v>648</v>
      </c>
      <c r="AJ207" s="456">
        <f>IF(AN207=0,J207,0)</f>
        <v>0</v>
      </c>
      <c r="AK207" s="456">
        <f>IF(AN207=12,J207,0)</f>
        <v>0</v>
      </c>
      <c r="AL207" s="456">
        <f>IF(AN207=21,J207,0)</f>
        <v>0</v>
      </c>
      <c r="AN207" s="456">
        <v>21</v>
      </c>
      <c r="AO207" s="456">
        <f>G207*0.296309869</f>
        <v>0</v>
      </c>
      <c r="AP207" s="456">
        <f>G207*(1-0.296309869)</f>
        <v>0</v>
      </c>
      <c r="AQ207" s="458" t="s">
        <v>679</v>
      </c>
      <c r="AV207" s="456">
        <f>AW207+AX207</f>
        <v>0</v>
      </c>
      <c r="AW207" s="456">
        <f>F207*AO207</f>
        <v>0</v>
      </c>
      <c r="AX207" s="456">
        <f>F207*AP207</f>
        <v>0</v>
      </c>
      <c r="AY207" s="458" t="s">
        <v>1208</v>
      </c>
      <c r="AZ207" s="458" t="s">
        <v>1184</v>
      </c>
      <c r="BA207" s="438" t="s">
        <v>656</v>
      </c>
      <c r="BC207" s="456">
        <f>AW207+AX207</f>
        <v>0</v>
      </c>
      <c r="BD207" s="456">
        <f>G207/(100-BE207)*100</f>
        <v>0</v>
      </c>
      <c r="BE207" s="456">
        <v>0</v>
      </c>
      <c r="BF207" s="456">
        <f>207</f>
        <v>207</v>
      </c>
      <c r="BH207" s="456">
        <f>F207*AO207</f>
        <v>0</v>
      </c>
      <c r="BI207" s="456">
        <f>F207*AP207</f>
        <v>0</v>
      </c>
      <c r="BJ207" s="456">
        <f>F207*G207</f>
        <v>0</v>
      </c>
      <c r="BK207" s="456"/>
      <c r="BL207" s="456">
        <v>784</v>
      </c>
      <c r="BW207" s="456">
        <v>21</v>
      </c>
      <c r="BX207" s="459" t="s">
        <v>1213</v>
      </c>
    </row>
    <row r="208" spans="1:76" ht="13.5">
      <c r="A208" s="460"/>
      <c r="C208" s="461" t="s">
        <v>1214</v>
      </c>
      <c r="D208" s="461" t="s">
        <v>648</v>
      </c>
      <c r="F208" s="462">
        <v>57.994999999999997</v>
      </c>
      <c r="K208" s="463"/>
    </row>
    <row r="209" spans="1:76" ht="13.5">
      <c r="A209" s="448" t="s">
        <v>648</v>
      </c>
      <c r="B209" s="449" t="s">
        <v>877</v>
      </c>
      <c r="C209" s="450" t="s">
        <v>878</v>
      </c>
      <c r="D209" s="451"/>
      <c r="E209" s="452" t="s">
        <v>607</v>
      </c>
      <c r="F209" s="452" t="s">
        <v>607</v>
      </c>
      <c r="G209" s="452" t="s">
        <v>607</v>
      </c>
      <c r="H209" s="416">
        <f>SUM(H210:H243)</f>
        <v>0</v>
      </c>
      <c r="I209" s="416">
        <f>SUM(I210:I243)</f>
        <v>0</v>
      </c>
      <c r="J209" s="416">
        <f>SUM(J210:J243)</f>
        <v>0</v>
      </c>
      <c r="K209" s="453" t="s">
        <v>648</v>
      </c>
      <c r="AI209" s="438" t="s">
        <v>648</v>
      </c>
      <c r="AS209" s="416">
        <f>SUM(AJ210:AJ243)</f>
        <v>0</v>
      </c>
      <c r="AT209" s="416">
        <f>SUM(AK210:AK243)</f>
        <v>0</v>
      </c>
      <c r="AU209" s="416">
        <f>SUM(AL210:AL243)</f>
        <v>0</v>
      </c>
    </row>
    <row r="210" spans="1:76" ht="13.5">
      <c r="A210" s="454" t="s">
        <v>921</v>
      </c>
      <c r="B210" s="455" t="s">
        <v>902</v>
      </c>
      <c r="C210" s="428" t="s">
        <v>903</v>
      </c>
      <c r="D210" s="424"/>
      <c r="E210" s="455" t="s">
        <v>14</v>
      </c>
      <c r="F210" s="456">
        <v>7</v>
      </c>
      <c r="G210" s="456">
        <v>0</v>
      </c>
      <c r="H210" s="456">
        <f>F210*AO210</f>
        <v>0</v>
      </c>
      <c r="I210" s="456">
        <f>F210*AP210</f>
        <v>0</v>
      </c>
      <c r="J210" s="456">
        <f>F210*G210</f>
        <v>0</v>
      </c>
      <c r="K210" s="457" t="s">
        <v>1410</v>
      </c>
      <c r="Z210" s="456">
        <f>IF(AQ210="5",BJ210,0)</f>
        <v>0</v>
      </c>
      <c r="AB210" s="456">
        <f>IF(AQ210="1",BH210,0)</f>
        <v>0</v>
      </c>
      <c r="AC210" s="456">
        <f>IF(AQ210="1",BI210,0)</f>
        <v>0</v>
      </c>
      <c r="AD210" s="456">
        <f>IF(AQ210="7",BH210,0)</f>
        <v>0</v>
      </c>
      <c r="AE210" s="456">
        <f>IF(AQ210="7",BI210,0)</f>
        <v>0</v>
      </c>
      <c r="AF210" s="456">
        <f>IF(AQ210="2",BH210,0)</f>
        <v>0</v>
      </c>
      <c r="AG210" s="456">
        <f>IF(AQ210="2",BI210,0)</f>
        <v>0</v>
      </c>
      <c r="AH210" s="456">
        <f>IF(AQ210="0",BJ210,0)</f>
        <v>0</v>
      </c>
      <c r="AI210" s="438" t="s">
        <v>648</v>
      </c>
      <c r="AJ210" s="456">
        <f>IF(AN210=0,J210,0)</f>
        <v>0</v>
      </c>
      <c r="AK210" s="456">
        <f>IF(AN210=12,J210,0)</f>
        <v>0</v>
      </c>
      <c r="AL210" s="456">
        <f>IF(AN210=21,J210,0)</f>
        <v>0</v>
      </c>
      <c r="AN210" s="456">
        <v>21</v>
      </c>
      <c r="AO210" s="456">
        <f>G210*0.000029761</f>
        <v>0</v>
      </c>
      <c r="AP210" s="456">
        <f>G210*(1-0.000029761)</f>
        <v>0</v>
      </c>
      <c r="AQ210" s="458" t="s">
        <v>651</v>
      </c>
      <c r="AV210" s="456">
        <f>AW210+AX210</f>
        <v>0</v>
      </c>
      <c r="AW210" s="456">
        <f>F210*AO210</f>
        <v>0</v>
      </c>
      <c r="AX210" s="456">
        <f>F210*AP210</f>
        <v>0</v>
      </c>
      <c r="AY210" s="458" t="s">
        <v>882</v>
      </c>
      <c r="AZ210" s="458" t="s">
        <v>883</v>
      </c>
      <c r="BA210" s="438" t="s">
        <v>656</v>
      </c>
      <c r="BC210" s="456">
        <f>AW210+AX210</f>
        <v>0</v>
      </c>
      <c r="BD210" s="456">
        <f>G210/(100-BE210)*100</f>
        <v>0</v>
      </c>
      <c r="BE210" s="456">
        <v>0</v>
      </c>
      <c r="BF210" s="456">
        <f>210</f>
        <v>210</v>
      </c>
      <c r="BH210" s="456">
        <f>F210*AO210</f>
        <v>0</v>
      </c>
      <c r="BI210" s="456">
        <f>F210*AP210</f>
        <v>0</v>
      </c>
      <c r="BJ210" s="456">
        <f>F210*G210</f>
        <v>0</v>
      </c>
      <c r="BK210" s="456"/>
      <c r="BL210" s="456">
        <v>85</v>
      </c>
      <c r="BW210" s="456">
        <v>21</v>
      </c>
      <c r="BX210" s="459" t="s">
        <v>903</v>
      </c>
    </row>
    <row r="211" spans="1:76" ht="13.5">
      <c r="A211" s="460"/>
      <c r="C211" s="461" t="s">
        <v>1215</v>
      </c>
      <c r="D211" s="461" t="s">
        <v>648</v>
      </c>
      <c r="F211" s="462">
        <v>2</v>
      </c>
      <c r="K211" s="463"/>
    </row>
    <row r="212" spans="1:76" ht="13.5">
      <c r="A212" s="460"/>
      <c r="C212" s="461" t="s">
        <v>1216</v>
      </c>
      <c r="D212" s="461" t="s">
        <v>648</v>
      </c>
      <c r="F212" s="462">
        <v>2</v>
      </c>
      <c r="K212" s="463"/>
    </row>
    <row r="213" spans="1:76" ht="13.5">
      <c r="A213" s="460"/>
      <c r="C213" s="461" t="s">
        <v>1217</v>
      </c>
      <c r="D213" s="461" t="s">
        <v>648</v>
      </c>
      <c r="F213" s="462">
        <v>2</v>
      </c>
      <c r="K213" s="463"/>
    </row>
    <row r="214" spans="1:76" ht="13.5">
      <c r="A214" s="460"/>
      <c r="C214" s="461" t="s">
        <v>1218</v>
      </c>
      <c r="D214" s="461" t="s">
        <v>648</v>
      </c>
      <c r="F214" s="462">
        <v>1</v>
      </c>
      <c r="K214" s="463"/>
    </row>
    <row r="215" spans="1:76" ht="13.5">
      <c r="A215" s="454" t="s">
        <v>924</v>
      </c>
      <c r="B215" s="455" t="s">
        <v>1219</v>
      </c>
      <c r="C215" s="428" t="s">
        <v>1220</v>
      </c>
      <c r="D215" s="424"/>
      <c r="E215" s="455" t="s">
        <v>14</v>
      </c>
      <c r="F215" s="456">
        <v>2</v>
      </c>
      <c r="G215" s="456">
        <v>0</v>
      </c>
      <c r="H215" s="456">
        <f>F215*AO215</f>
        <v>0</v>
      </c>
      <c r="I215" s="456">
        <f>F215*AP215</f>
        <v>0</v>
      </c>
      <c r="J215" s="456">
        <f>F215*G215</f>
        <v>0</v>
      </c>
      <c r="K215" s="457" t="s">
        <v>648</v>
      </c>
      <c r="Z215" s="456">
        <f>IF(AQ215="5",BJ215,0)</f>
        <v>0</v>
      </c>
      <c r="AB215" s="456">
        <f>IF(AQ215="1",BH215,0)</f>
        <v>0</v>
      </c>
      <c r="AC215" s="456">
        <f>IF(AQ215="1",BI215,0)</f>
        <v>0</v>
      </c>
      <c r="AD215" s="456">
        <f>IF(AQ215="7",BH215,0)</f>
        <v>0</v>
      </c>
      <c r="AE215" s="456">
        <f>IF(AQ215="7",BI215,0)</f>
        <v>0</v>
      </c>
      <c r="AF215" s="456">
        <f>IF(AQ215="2",BH215,0)</f>
        <v>0</v>
      </c>
      <c r="AG215" s="456">
        <f>IF(AQ215="2",BI215,0)</f>
        <v>0</v>
      </c>
      <c r="AH215" s="456">
        <f>IF(AQ215="0",BJ215,0)</f>
        <v>0</v>
      </c>
      <c r="AI215" s="438" t="s">
        <v>648</v>
      </c>
      <c r="AJ215" s="456">
        <f>IF(AN215=0,J215,0)</f>
        <v>0</v>
      </c>
      <c r="AK215" s="456">
        <f>IF(AN215=12,J215,0)</f>
        <v>0</v>
      </c>
      <c r="AL215" s="456">
        <f>IF(AN215=21,J215,0)</f>
        <v>0</v>
      </c>
      <c r="AN215" s="456">
        <v>21</v>
      </c>
      <c r="AO215" s="456">
        <f>G215*1</f>
        <v>0</v>
      </c>
      <c r="AP215" s="456">
        <f>G215*(1-1)</f>
        <v>0</v>
      </c>
      <c r="AQ215" s="458" t="s">
        <v>651</v>
      </c>
      <c r="AV215" s="456">
        <f>AW215+AX215</f>
        <v>0</v>
      </c>
      <c r="AW215" s="456">
        <f>F215*AO215</f>
        <v>0</v>
      </c>
      <c r="AX215" s="456">
        <f>F215*AP215</f>
        <v>0</v>
      </c>
      <c r="AY215" s="458" t="s">
        <v>882</v>
      </c>
      <c r="AZ215" s="458" t="s">
        <v>883</v>
      </c>
      <c r="BA215" s="438" t="s">
        <v>656</v>
      </c>
      <c r="BC215" s="456">
        <f>AW215+AX215</f>
        <v>0</v>
      </c>
      <c r="BD215" s="456">
        <f>G215/(100-BE215)*100</f>
        <v>0</v>
      </c>
      <c r="BE215" s="456">
        <v>0</v>
      </c>
      <c r="BF215" s="456">
        <f>215</f>
        <v>215</v>
      </c>
      <c r="BH215" s="456">
        <f>F215*AO215</f>
        <v>0</v>
      </c>
      <c r="BI215" s="456">
        <f>F215*AP215</f>
        <v>0</v>
      </c>
      <c r="BJ215" s="456">
        <f>F215*G215</f>
        <v>0</v>
      </c>
      <c r="BK215" s="456"/>
      <c r="BL215" s="456">
        <v>85</v>
      </c>
      <c r="BW215" s="456">
        <v>21</v>
      </c>
      <c r="BX215" s="459" t="s">
        <v>1220</v>
      </c>
    </row>
    <row r="216" spans="1:76" ht="13.5">
      <c r="A216" s="454" t="s">
        <v>927</v>
      </c>
      <c r="B216" s="455" t="s">
        <v>1221</v>
      </c>
      <c r="C216" s="428" t="s">
        <v>1222</v>
      </c>
      <c r="D216" s="424"/>
      <c r="E216" s="455" t="s">
        <v>14</v>
      </c>
      <c r="F216" s="456">
        <v>2</v>
      </c>
      <c r="G216" s="456">
        <v>0</v>
      </c>
      <c r="H216" s="456">
        <f>F216*AO216</f>
        <v>0</v>
      </c>
      <c r="I216" s="456">
        <f>F216*AP216</f>
        <v>0</v>
      </c>
      <c r="J216" s="456">
        <f>F216*G216</f>
        <v>0</v>
      </c>
      <c r="K216" s="457" t="s">
        <v>648</v>
      </c>
      <c r="Z216" s="456">
        <f>IF(AQ216="5",BJ216,0)</f>
        <v>0</v>
      </c>
      <c r="AB216" s="456">
        <f>IF(AQ216="1",BH216,0)</f>
        <v>0</v>
      </c>
      <c r="AC216" s="456">
        <f>IF(AQ216="1",BI216,0)</f>
        <v>0</v>
      </c>
      <c r="AD216" s="456">
        <f>IF(AQ216="7",BH216,0)</f>
        <v>0</v>
      </c>
      <c r="AE216" s="456">
        <f>IF(AQ216="7",BI216,0)</f>
        <v>0</v>
      </c>
      <c r="AF216" s="456">
        <f>IF(AQ216="2",BH216,0)</f>
        <v>0</v>
      </c>
      <c r="AG216" s="456">
        <f>IF(AQ216="2",BI216,0)</f>
        <v>0</v>
      </c>
      <c r="AH216" s="456">
        <f>IF(AQ216="0",BJ216,0)</f>
        <v>0</v>
      </c>
      <c r="AI216" s="438" t="s">
        <v>648</v>
      </c>
      <c r="AJ216" s="456">
        <f>IF(AN216=0,J216,0)</f>
        <v>0</v>
      </c>
      <c r="AK216" s="456">
        <f>IF(AN216=12,J216,0)</f>
        <v>0</v>
      </c>
      <c r="AL216" s="456">
        <f>IF(AN216=21,J216,0)</f>
        <v>0</v>
      </c>
      <c r="AN216" s="456">
        <v>21</v>
      </c>
      <c r="AO216" s="456">
        <f>G216*1</f>
        <v>0</v>
      </c>
      <c r="AP216" s="456">
        <f>G216*(1-1)</f>
        <v>0</v>
      </c>
      <c r="AQ216" s="458" t="s">
        <v>651</v>
      </c>
      <c r="AV216" s="456">
        <f>AW216+AX216</f>
        <v>0</v>
      </c>
      <c r="AW216" s="456">
        <f>F216*AO216</f>
        <v>0</v>
      </c>
      <c r="AX216" s="456">
        <f>F216*AP216</f>
        <v>0</v>
      </c>
      <c r="AY216" s="458" t="s">
        <v>882</v>
      </c>
      <c r="AZ216" s="458" t="s">
        <v>883</v>
      </c>
      <c r="BA216" s="438" t="s">
        <v>656</v>
      </c>
      <c r="BC216" s="456">
        <f>AW216+AX216</f>
        <v>0</v>
      </c>
      <c r="BD216" s="456">
        <f>G216/(100-BE216)*100</f>
        <v>0</v>
      </c>
      <c r="BE216" s="456">
        <v>0</v>
      </c>
      <c r="BF216" s="456">
        <f>216</f>
        <v>216</v>
      </c>
      <c r="BH216" s="456">
        <f>F216*AO216</f>
        <v>0</v>
      </c>
      <c r="BI216" s="456">
        <f>F216*AP216</f>
        <v>0</v>
      </c>
      <c r="BJ216" s="456">
        <f>F216*G216</f>
        <v>0</v>
      </c>
      <c r="BK216" s="456"/>
      <c r="BL216" s="456">
        <v>85</v>
      </c>
      <c r="BW216" s="456">
        <v>21</v>
      </c>
      <c r="BX216" s="459" t="s">
        <v>1222</v>
      </c>
    </row>
    <row r="217" spans="1:76" ht="13.5">
      <c r="A217" s="454" t="s">
        <v>932</v>
      </c>
      <c r="B217" s="455" t="s">
        <v>1223</v>
      </c>
      <c r="C217" s="428" t="s">
        <v>1224</v>
      </c>
      <c r="D217" s="424"/>
      <c r="E217" s="455" t="s">
        <v>14</v>
      </c>
      <c r="F217" s="456">
        <v>2</v>
      </c>
      <c r="G217" s="456">
        <v>0</v>
      </c>
      <c r="H217" s="456">
        <f>F217*AO217</f>
        <v>0</v>
      </c>
      <c r="I217" s="456">
        <f>F217*AP217</f>
        <v>0</v>
      </c>
      <c r="J217" s="456">
        <f>F217*G217</f>
        <v>0</v>
      </c>
      <c r="K217" s="457" t="s">
        <v>648</v>
      </c>
      <c r="Z217" s="456">
        <f>IF(AQ217="5",BJ217,0)</f>
        <v>0</v>
      </c>
      <c r="AB217" s="456">
        <f>IF(AQ217="1",BH217,0)</f>
        <v>0</v>
      </c>
      <c r="AC217" s="456">
        <f>IF(AQ217="1",BI217,0)</f>
        <v>0</v>
      </c>
      <c r="AD217" s="456">
        <f>IF(AQ217="7",BH217,0)</f>
        <v>0</v>
      </c>
      <c r="AE217" s="456">
        <f>IF(AQ217="7",BI217,0)</f>
        <v>0</v>
      </c>
      <c r="AF217" s="456">
        <f>IF(AQ217="2",BH217,0)</f>
        <v>0</v>
      </c>
      <c r="AG217" s="456">
        <f>IF(AQ217="2",BI217,0)</f>
        <v>0</v>
      </c>
      <c r="AH217" s="456">
        <f>IF(AQ217="0",BJ217,0)</f>
        <v>0</v>
      </c>
      <c r="AI217" s="438" t="s">
        <v>648</v>
      </c>
      <c r="AJ217" s="456">
        <f>IF(AN217=0,J217,0)</f>
        <v>0</v>
      </c>
      <c r="AK217" s="456">
        <f>IF(AN217=12,J217,0)</f>
        <v>0</v>
      </c>
      <c r="AL217" s="456">
        <f>IF(AN217=21,J217,0)</f>
        <v>0</v>
      </c>
      <c r="AN217" s="456">
        <v>21</v>
      </c>
      <c r="AO217" s="456">
        <f>G217*1</f>
        <v>0</v>
      </c>
      <c r="AP217" s="456">
        <f>G217*(1-1)</f>
        <v>0</v>
      </c>
      <c r="AQ217" s="458" t="s">
        <v>651</v>
      </c>
      <c r="AV217" s="456">
        <f>AW217+AX217</f>
        <v>0</v>
      </c>
      <c r="AW217" s="456">
        <f>F217*AO217</f>
        <v>0</v>
      </c>
      <c r="AX217" s="456">
        <f>F217*AP217</f>
        <v>0</v>
      </c>
      <c r="AY217" s="458" t="s">
        <v>882</v>
      </c>
      <c r="AZ217" s="458" t="s">
        <v>883</v>
      </c>
      <c r="BA217" s="438" t="s">
        <v>656</v>
      </c>
      <c r="BC217" s="456">
        <f>AW217+AX217</f>
        <v>0</v>
      </c>
      <c r="BD217" s="456">
        <f>G217/(100-BE217)*100</f>
        <v>0</v>
      </c>
      <c r="BE217" s="456">
        <v>0</v>
      </c>
      <c r="BF217" s="456">
        <f>217</f>
        <v>217</v>
      </c>
      <c r="BH217" s="456">
        <f>F217*AO217</f>
        <v>0</v>
      </c>
      <c r="BI217" s="456">
        <f>F217*AP217</f>
        <v>0</v>
      </c>
      <c r="BJ217" s="456">
        <f>F217*G217</f>
        <v>0</v>
      </c>
      <c r="BK217" s="456"/>
      <c r="BL217" s="456">
        <v>85</v>
      </c>
      <c r="BW217" s="456">
        <v>21</v>
      </c>
      <c r="BX217" s="459" t="s">
        <v>1224</v>
      </c>
    </row>
    <row r="218" spans="1:76" ht="13.5">
      <c r="A218" s="454" t="s">
        <v>936</v>
      </c>
      <c r="B218" s="455" t="s">
        <v>1225</v>
      </c>
      <c r="C218" s="428" t="s">
        <v>1226</v>
      </c>
      <c r="D218" s="424"/>
      <c r="E218" s="455" t="s">
        <v>14</v>
      </c>
      <c r="F218" s="456">
        <v>1</v>
      </c>
      <c r="G218" s="456">
        <v>0</v>
      </c>
      <c r="H218" s="456">
        <f>F218*AO218</f>
        <v>0</v>
      </c>
      <c r="I218" s="456">
        <f>F218*AP218</f>
        <v>0</v>
      </c>
      <c r="J218" s="456">
        <f>F218*G218</f>
        <v>0</v>
      </c>
      <c r="K218" s="457" t="s">
        <v>648</v>
      </c>
      <c r="Z218" s="456">
        <f>IF(AQ218="5",BJ218,0)</f>
        <v>0</v>
      </c>
      <c r="AB218" s="456">
        <f>IF(AQ218="1",BH218,0)</f>
        <v>0</v>
      </c>
      <c r="AC218" s="456">
        <f>IF(AQ218="1",BI218,0)</f>
        <v>0</v>
      </c>
      <c r="AD218" s="456">
        <f>IF(AQ218="7",BH218,0)</f>
        <v>0</v>
      </c>
      <c r="AE218" s="456">
        <f>IF(AQ218="7",BI218,0)</f>
        <v>0</v>
      </c>
      <c r="AF218" s="456">
        <f>IF(AQ218="2",BH218,0)</f>
        <v>0</v>
      </c>
      <c r="AG218" s="456">
        <f>IF(AQ218="2",BI218,0)</f>
        <v>0</v>
      </c>
      <c r="AH218" s="456">
        <f>IF(AQ218="0",BJ218,0)</f>
        <v>0</v>
      </c>
      <c r="AI218" s="438" t="s">
        <v>648</v>
      </c>
      <c r="AJ218" s="456">
        <f>IF(AN218=0,J218,0)</f>
        <v>0</v>
      </c>
      <c r="AK218" s="456">
        <f>IF(AN218=12,J218,0)</f>
        <v>0</v>
      </c>
      <c r="AL218" s="456">
        <f>IF(AN218=21,J218,0)</f>
        <v>0</v>
      </c>
      <c r="AN218" s="456">
        <v>21</v>
      </c>
      <c r="AO218" s="456">
        <f>G218*1</f>
        <v>0</v>
      </c>
      <c r="AP218" s="456">
        <f>G218*(1-1)</f>
        <v>0</v>
      </c>
      <c r="AQ218" s="458" t="s">
        <v>651</v>
      </c>
      <c r="AV218" s="456">
        <f>AW218+AX218</f>
        <v>0</v>
      </c>
      <c r="AW218" s="456">
        <f>F218*AO218</f>
        <v>0</v>
      </c>
      <c r="AX218" s="456">
        <f>F218*AP218</f>
        <v>0</v>
      </c>
      <c r="AY218" s="458" t="s">
        <v>882</v>
      </c>
      <c r="AZ218" s="458" t="s">
        <v>883</v>
      </c>
      <c r="BA218" s="438" t="s">
        <v>656</v>
      </c>
      <c r="BC218" s="456">
        <f>AW218+AX218</f>
        <v>0</v>
      </c>
      <c r="BD218" s="456">
        <f>G218/(100-BE218)*100</f>
        <v>0</v>
      </c>
      <c r="BE218" s="456">
        <v>0</v>
      </c>
      <c r="BF218" s="456">
        <f>218</f>
        <v>218</v>
      </c>
      <c r="BH218" s="456">
        <f>F218*AO218</f>
        <v>0</v>
      </c>
      <c r="BI218" s="456">
        <f>F218*AP218</f>
        <v>0</v>
      </c>
      <c r="BJ218" s="456">
        <f>F218*G218</f>
        <v>0</v>
      </c>
      <c r="BK218" s="456"/>
      <c r="BL218" s="456">
        <v>85</v>
      </c>
      <c r="BW218" s="456">
        <v>21</v>
      </c>
      <c r="BX218" s="459" t="s">
        <v>1226</v>
      </c>
    </row>
    <row r="219" spans="1:76" ht="13.5">
      <c r="A219" s="454" t="s">
        <v>939</v>
      </c>
      <c r="B219" s="455" t="s">
        <v>1227</v>
      </c>
      <c r="C219" s="428" t="s">
        <v>1228</v>
      </c>
      <c r="D219" s="424"/>
      <c r="E219" s="455" t="s">
        <v>14</v>
      </c>
      <c r="F219" s="456">
        <v>22</v>
      </c>
      <c r="G219" s="456">
        <v>0</v>
      </c>
      <c r="H219" s="456">
        <f>F219*AO219</f>
        <v>0</v>
      </c>
      <c r="I219" s="456">
        <f>F219*AP219</f>
        <v>0</v>
      </c>
      <c r="J219" s="456">
        <f>F219*G219</f>
        <v>0</v>
      </c>
      <c r="K219" s="457" t="s">
        <v>1410</v>
      </c>
      <c r="Z219" s="456">
        <f>IF(AQ219="5",BJ219,0)</f>
        <v>0</v>
      </c>
      <c r="AB219" s="456">
        <f>IF(AQ219="1",BH219,0)</f>
        <v>0</v>
      </c>
      <c r="AC219" s="456">
        <f>IF(AQ219="1",BI219,0)</f>
        <v>0</v>
      </c>
      <c r="AD219" s="456">
        <f>IF(AQ219="7",BH219,0)</f>
        <v>0</v>
      </c>
      <c r="AE219" s="456">
        <f>IF(AQ219="7",BI219,0)</f>
        <v>0</v>
      </c>
      <c r="AF219" s="456">
        <f>IF(AQ219="2",BH219,0)</f>
        <v>0</v>
      </c>
      <c r="AG219" s="456">
        <f>IF(AQ219="2",BI219,0)</f>
        <v>0</v>
      </c>
      <c r="AH219" s="456">
        <f>IF(AQ219="0",BJ219,0)</f>
        <v>0</v>
      </c>
      <c r="AI219" s="438" t="s">
        <v>648</v>
      </c>
      <c r="AJ219" s="456">
        <f>IF(AN219=0,J219,0)</f>
        <v>0</v>
      </c>
      <c r="AK219" s="456">
        <f>IF(AN219=12,J219,0)</f>
        <v>0</v>
      </c>
      <c r="AL219" s="456">
        <f>IF(AN219=21,J219,0)</f>
        <v>0</v>
      </c>
      <c r="AN219" s="456">
        <v>21</v>
      </c>
      <c r="AO219" s="456">
        <f>G219*0.000028517</f>
        <v>0</v>
      </c>
      <c r="AP219" s="456">
        <f>G219*(1-0.000028517)</f>
        <v>0</v>
      </c>
      <c r="AQ219" s="458" t="s">
        <v>651</v>
      </c>
      <c r="AV219" s="456">
        <f>AW219+AX219</f>
        <v>0</v>
      </c>
      <c r="AW219" s="456">
        <f>F219*AO219</f>
        <v>0</v>
      </c>
      <c r="AX219" s="456">
        <f>F219*AP219</f>
        <v>0</v>
      </c>
      <c r="AY219" s="458" t="s">
        <v>882</v>
      </c>
      <c r="AZ219" s="458" t="s">
        <v>883</v>
      </c>
      <c r="BA219" s="438" t="s">
        <v>656</v>
      </c>
      <c r="BC219" s="456">
        <f>AW219+AX219</f>
        <v>0</v>
      </c>
      <c r="BD219" s="456">
        <f>G219/(100-BE219)*100</f>
        <v>0</v>
      </c>
      <c r="BE219" s="456">
        <v>0</v>
      </c>
      <c r="BF219" s="456">
        <f>219</f>
        <v>219</v>
      </c>
      <c r="BH219" s="456">
        <f>F219*AO219</f>
        <v>0</v>
      </c>
      <c r="BI219" s="456">
        <f>F219*AP219</f>
        <v>0</v>
      </c>
      <c r="BJ219" s="456">
        <f>F219*G219</f>
        <v>0</v>
      </c>
      <c r="BK219" s="456"/>
      <c r="BL219" s="456">
        <v>85</v>
      </c>
      <c r="BW219" s="456">
        <v>21</v>
      </c>
      <c r="BX219" s="459" t="s">
        <v>1228</v>
      </c>
    </row>
    <row r="220" spans="1:76" ht="13.5">
      <c r="A220" s="460"/>
      <c r="C220" s="461" t="s">
        <v>1229</v>
      </c>
      <c r="D220" s="461" t="s">
        <v>648</v>
      </c>
      <c r="F220" s="462">
        <v>1</v>
      </c>
      <c r="K220" s="463"/>
    </row>
    <row r="221" spans="1:76" ht="13.5">
      <c r="A221" s="460"/>
      <c r="C221" s="461" t="s">
        <v>1230</v>
      </c>
      <c r="D221" s="461" t="s">
        <v>648</v>
      </c>
      <c r="F221" s="462">
        <v>2</v>
      </c>
      <c r="K221" s="463"/>
    </row>
    <row r="222" spans="1:76" ht="13.5">
      <c r="A222" s="460"/>
      <c r="C222" s="461" t="s">
        <v>1231</v>
      </c>
      <c r="D222" s="461" t="s">
        <v>648</v>
      </c>
      <c r="F222" s="462">
        <v>7</v>
      </c>
      <c r="K222" s="463"/>
    </row>
    <row r="223" spans="1:76" ht="13.5">
      <c r="A223" s="460"/>
      <c r="C223" s="461" t="s">
        <v>1232</v>
      </c>
      <c r="D223" s="461" t="s">
        <v>648</v>
      </c>
      <c r="F223" s="462">
        <v>2</v>
      </c>
      <c r="K223" s="463"/>
    </row>
    <row r="224" spans="1:76" ht="13.5">
      <c r="A224" s="460"/>
      <c r="C224" s="461" t="s">
        <v>1233</v>
      </c>
      <c r="D224" s="461" t="s">
        <v>648</v>
      </c>
      <c r="F224" s="462">
        <v>4</v>
      </c>
      <c r="K224" s="463"/>
    </row>
    <row r="225" spans="1:76" ht="13.5">
      <c r="A225" s="460"/>
      <c r="C225" s="461" t="s">
        <v>1234</v>
      </c>
      <c r="D225" s="461" t="s">
        <v>648</v>
      </c>
      <c r="F225" s="462">
        <v>4</v>
      </c>
      <c r="K225" s="463"/>
    </row>
    <row r="226" spans="1:76" ht="13.5">
      <c r="A226" s="460"/>
      <c r="C226" s="461" t="s">
        <v>1235</v>
      </c>
      <c r="D226" s="461" t="s">
        <v>648</v>
      </c>
      <c r="F226" s="462">
        <v>2</v>
      </c>
      <c r="K226" s="463"/>
    </row>
    <row r="227" spans="1:76" ht="13.5">
      <c r="A227" s="454" t="s">
        <v>942</v>
      </c>
      <c r="B227" s="455" t="s">
        <v>1236</v>
      </c>
      <c r="C227" s="428" t="s">
        <v>1237</v>
      </c>
      <c r="D227" s="424"/>
      <c r="E227" s="455" t="s">
        <v>14</v>
      </c>
      <c r="F227" s="456">
        <v>1</v>
      </c>
      <c r="G227" s="456">
        <v>0</v>
      </c>
      <c r="H227" s="456">
        <f t="shared" ref="H227:H234" si="0">F227*AO227</f>
        <v>0</v>
      </c>
      <c r="I227" s="456">
        <f t="shared" ref="I227:I234" si="1">F227*AP227</f>
        <v>0</v>
      </c>
      <c r="J227" s="456">
        <f t="shared" ref="J227:J234" si="2">F227*G227</f>
        <v>0</v>
      </c>
      <c r="K227" s="457" t="s">
        <v>648</v>
      </c>
      <c r="Z227" s="456">
        <f t="shared" ref="Z227:Z234" si="3">IF(AQ227="5",BJ227,0)</f>
        <v>0</v>
      </c>
      <c r="AB227" s="456">
        <f t="shared" ref="AB227:AB234" si="4">IF(AQ227="1",BH227,0)</f>
        <v>0</v>
      </c>
      <c r="AC227" s="456">
        <f t="shared" ref="AC227:AC234" si="5">IF(AQ227="1",BI227,0)</f>
        <v>0</v>
      </c>
      <c r="AD227" s="456">
        <f t="shared" ref="AD227:AD234" si="6">IF(AQ227="7",BH227,0)</f>
        <v>0</v>
      </c>
      <c r="AE227" s="456">
        <f t="shared" ref="AE227:AE234" si="7">IF(AQ227="7",BI227,0)</f>
        <v>0</v>
      </c>
      <c r="AF227" s="456">
        <f t="shared" ref="AF227:AF234" si="8">IF(AQ227="2",BH227,0)</f>
        <v>0</v>
      </c>
      <c r="AG227" s="456">
        <f t="shared" ref="AG227:AG234" si="9">IF(AQ227="2",BI227,0)</f>
        <v>0</v>
      </c>
      <c r="AH227" s="456">
        <f t="shared" ref="AH227:AH234" si="10">IF(AQ227="0",BJ227,0)</f>
        <v>0</v>
      </c>
      <c r="AI227" s="438" t="s">
        <v>648</v>
      </c>
      <c r="AJ227" s="456">
        <f t="shared" ref="AJ227:AJ234" si="11">IF(AN227=0,J227,0)</f>
        <v>0</v>
      </c>
      <c r="AK227" s="456">
        <f t="shared" ref="AK227:AK234" si="12">IF(AN227=12,J227,0)</f>
        <v>0</v>
      </c>
      <c r="AL227" s="456">
        <f t="shared" ref="AL227:AL234" si="13">IF(AN227=21,J227,0)</f>
        <v>0</v>
      </c>
      <c r="AN227" s="456">
        <v>21</v>
      </c>
      <c r="AO227" s="456">
        <f t="shared" ref="AO227:AO233" si="14">G227*1</f>
        <v>0</v>
      </c>
      <c r="AP227" s="456">
        <f t="shared" ref="AP227:AP233" si="15">G227*(1-1)</f>
        <v>0</v>
      </c>
      <c r="AQ227" s="458" t="s">
        <v>651</v>
      </c>
      <c r="AV227" s="456">
        <f t="shared" ref="AV227:AV234" si="16">AW227+AX227</f>
        <v>0</v>
      </c>
      <c r="AW227" s="456">
        <f t="shared" ref="AW227:AW234" si="17">F227*AO227</f>
        <v>0</v>
      </c>
      <c r="AX227" s="456">
        <f t="shared" ref="AX227:AX234" si="18">F227*AP227</f>
        <v>0</v>
      </c>
      <c r="AY227" s="458" t="s">
        <v>882</v>
      </c>
      <c r="AZ227" s="458" t="s">
        <v>883</v>
      </c>
      <c r="BA227" s="438" t="s">
        <v>656</v>
      </c>
      <c r="BC227" s="456">
        <f t="shared" ref="BC227:BC234" si="19">AW227+AX227</f>
        <v>0</v>
      </c>
      <c r="BD227" s="456">
        <f t="shared" ref="BD227:BD234" si="20">G227/(100-BE227)*100</f>
        <v>0</v>
      </c>
      <c r="BE227" s="456">
        <v>0</v>
      </c>
      <c r="BF227" s="456">
        <f>227</f>
        <v>227</v>
      </c>
      <c r="BH227" s="456">
        <f t="shared" ref="BH227:BH234" si="21">F227*AO227</f>
        <v>0</v>
      </c>
      <c r="BI227" s="456">
        <f t="shared" ref="BI227:BI234" si="22">F227*AP227</f>
        <v>0</v>
      </c>
      <c r="BJ227" s="456">
        <f t="shared" ref="BJ227:BJ234" si="23">F227*G227</f>
        <v>0</v>
      </c>
      <c r="BK227" s="456"/>
      <c r="BL227" s="456">
        <v>85</v>
      </c>
      <c r="BW227" s="456">
        <v>21</v>
      </c>
      <c r="BX227" s="459" t="s">
        <v>1237</v>
      </c>
    </row>
    <row r="228" spans="1:76" ht="13.5">
      <c r="A228" s="454" t="s">
        <v>945</v>
      </c>
      <c r="B228" s="455" t="s">
        <v>1238</v>
      </c>
      <c r="C228" s="428" t="s">
        <v>1239</v>
      </c>
      <c r="D228" s="424"/>
      <c r="E228" s="455" t="s">
        <v>14</v>
      </c>
      <c r="F228" s="456">
        <v>2</v>
      </c>
      <c r="G228" s="456">
        <v>0</v>
      </c>
      <c r="H228" s="456">
        <f t="shared" si="0"/>
        <v>0</v>
      </c>
      <c r="I228" s="456">
        <f t="shared" si="1"/>
        <v>0</v>
      </c>
      <c r="J228" s="456">
        <f t="shared" si="2"/>
        <v>0</v>
      </c>
      <c r="K228" s="457" t="s">
        <v>648</v>
      </c>
      <c r="Z228" s="456">
        <f t="shared" si="3"/>
        <v>0</v>
      </c>
      <c r="AB228" s="456">
        <f t="shared" si="4"/>
        <v>0</v>
      </c>
      <c r="AC228" s="456">
        <f t="shared" si="5"/>
        <v>0</v>
      </c>
      <c r="AD228" s="456">
        <f t="shared" si="6"/>
        <v>0</v>
      </c>
      <c r="AE228" s="456">
        <f t="shared" si="7"/>
        <v>0</v>
      </c>
      <c r="AF228" s="456">
        <f t="shared" si="8"/>
        <v>0</v>
      </c>
      <c r="AG228" s="456">
        <f t="shared" si="9"/>
        <v>0</v>
      </c>
      <c r="AH228" s="456">
        <f t="shared" si="10"/>
        <v>0</v>
      </c>
      <c r="AI228" s="438" t="s">
        <v>648</v>
      </c>
      <c r="AJ228" s="456">
        <f t="shared" si="11"/>
        <v>0</v>
      </c>
      <c r="AK228" s="456">
        <f t="shared" si="12"/>
        <v>0</v>
      </c>
      <c r="AL228" s="456">
        <f t="shared" si="13"/>
        <v>0</v>
      </c>
      <c r="AN228" s="456">
        <v>21</v>
      </c>
      <c r="AO228" s="456">
        <f t="shared" si="14"/>
        <v>0</v>
      </c>
      <c r="AP228" s="456">
        <f t="shared" si="15"/>
        <v>0</v>
      </c>
      <c r="AQ228" s="458" t="s">
        <v>651</v>
      </c>
      <c r="AV228" s="456">
        <f t="shared" si="16"/>
        <v>0</v>
      </c>
      <c r="AW228" s="456">
        <f t="shared" si="17"/>
        <v>0</v>
      </c>
      <c r="AX228" s="456">
        <f t="shared" si="18"/>
        <v>0</v>
      </c>
      <c r="AY228" s="458" t="s">
        <v>882</v>
      </c>
      <c r="AZ228" s="458" t="s">
        <v>883</v>
      </c>
      <c r="BA228" s="438" t="s">
        <v>656</v>
      </c>
      <c r="BC228" s="456">
        <f t="shared" si="19"/>
        <v>0</v>
      </c>
      <c r="BD228" s="456">
        <f t="shared" si="20"/>
        <v>0</v>
      </c>
      <c r="BE228" s="456">
        <v>0</v>
      </c>
      <c r="BF228" s="456">
        <f>228</f>
        <v>228</v>
      </c>
      <c r="BH228" s="456">
        <f t="shared" si="21"/>
        <v>0</v>
      </c>
      <c r="BI228" s="456">
        <f t="shared" si="22"/>
        <v>0</v>
      </c>
      <c r="BJ228" s="456">
        <f t="shared" si="23"/>
        <v>0</v>
      </c>
      <c r="BK228" s="456"/>
      <c r="BL228" s="456">
        <v>85</v>
      </c>
      <c r="BW228" s="456">
        <v>21</v>
      </c>
      <c r="BX228" s="459" t="s">
        <v>1239</v>
      </c>
    </row>
    <row r="229" spans="1:76" ht="13.5">
      <c r="A229" s="454" t="s">
        <v>948</v>
      </c>
      <c r="B229" s="455" t="s">
        <v>1240</v>
      </c>
      <c r="C229" s="428" t="s">
        <v>1241</v>
      </c>
      <c r="D229" s="424"/>
      <c r="E229" s="455" t="s">
        <v>14</v>
      </c>
      <c r="F229" s="456">
        <v>7</v>
      </c>
      <c r="G229" s="456">
        <v>0</v>
      </c>
      <c r="H229" s="456">
        <f t="shared" si="0"/>
        <v>0</v>
      </c>
      <c r="I229" s="456">
        <f t="shared" si="1"/>
        <v>0</v>
      </c>
      <c r="J229" s="456">
        <f t="shared" si="2"/>
        <v>0</v>
      </c>
      <c r="K229" s="457" t="s">
        <v>648</v>
      </c>
      <c r="Z229" s="456">
        <f t="shared" si="3"/>
        <v>0</v>
      </c>
      <c r="AB229" s="456">
        <f t="shared" si="4"/>
        <v>0</v>
      </c>
      <c r="AC229" s="456">
        <f t="shared" si="5"/>
        <v>0</v>
      </c>
      <c r="AD229" s="456">
        <f t="shared" si="6"/>
        <v>0</v>
      </c>
      <c r="AE229" s="456">
        <f t="shared" si="7"/>
        <v>0</v>
      </c>
      <c r="AF229" s="456">
        <f t="shared" si="8"/>
        <v>0</v>
      </c>
      <c r="AG229" s="456">
        <f t="shared" si="9"/>
        <v>0</v>
      </c>
      <c r="AH229" s="456">
        <f t="shared" si="10"/>
        <v>0</v>
      </c>
      <c r="AI229" s="438" t="s">
        <v>648</v>
      </c>
      <c r="AJ229" s="456">
        <f t="shared" si="11"/>
        <v>0</v>
      </c>
      <c r="AK229" s="456">
        <f t="shared" si="12"/>
        <v>0</v>
      </c>
      <c r="AL229" s="456">
        <f t="shared" si="13"/>
        <v>0</v>
      </c>
      <c r="AN229" s="456">
        <v>21</v>
      </c>
      <c r="AO229" s="456">
        <f t="shared" si="14"/>
        <v>0</v>
      </c>
      <c r="AP229" s="456">
        <f t="shared" si="15"/>
        <v>0</v>
      </c>
      <c r="AQ229" s="458" t="s">
        <v>651</v>
      </c>
      <c r="AV229" s="456">
        <f t="shared" si="16"/>
        <v>0</v>
      </c>
      <c r="AW229" s="456">
        <f t="shared" si="17"/>
        <v>0</v>
      </c>
      <c r="AX229" s="456">
        <f t="shared" si="18"/>
        <v>0</v>
      </c>
      <c r="AY229" s="458" t="s">
        <v>882</v>
      </c>
      <c r="AZ229" s="458" t="s">
        <v>883</v>
      </c>
      <c r="BA229" s="438" t="s">
        <v>656</v>
      </c>
      <c r="BC229" s="456">
        <f t="shared" si="19"/>
        <v>0</v>
      </c>
      <c r="BD229" s="456">
        <f t="shared" si="20"/>
        <v>0</v>
      </c>
      <c r="BE229" s="456">
        <v>0</v>
      </c>
      <c r="BF229" s="456">
        <f>229</f>
        <v>229</v>
      </c>
      <c r="BH229" s="456">
        <f t="shared" si="21"/>
        <v>0</v>
      </c>
      <c r="BI229" s="456">
        <f t="shared" si="22"/>
        <v>0</v>
      </c>
      <c r="BJ229" s="456">
        <f t="shared" si="23"/>
        <v>0</v>
      </c>
      <c r="BK229" s="456"/>
      <c r="BL229" s="456">
        <v>85</v>
      </c>
      <c r="BW229" s="456">
        <v>21</v>
      </c>
      <c r="BX229" s="459" t="s">
        <v>1241</v>
      </c>
    </row>
    <row r="230" spans="1:76" ht="13.5">
      <c r="A230" s="454" t="s">
        <v>951</v>
      </c>
      <c r="B230" s="455" t="s">
        <v>1242</v>
      </c>
      <c r="C230" s="428" t="s">
        <v>1243</v>
      </c>
      <c r="D230" s="424"/>
      <c r="E230" s="455" t="s">
        <v>14</v>
      </c>
      <c r="F230" s="456">
        <v>2</v>
      </c>
      <c r="G230" s="456">
        <v>0</v>
      </c>
      <c r="H230" s="456">
        <f t="shared" si="0"/>
        <v>0</v>
      </c>
      <c r="I230" s="456">
        <f t="shared" si="1"/>
        <v>0</v>
      </c>
      <c r="J230" s="456">
        <f t="shared" si="2"/>
        <v>0</v>
      </c>
      <c r="K230" s="457" t="s">
        <v>648</v>
      </c>
      <c r="Z230" s="456">
        <f t="shared" si="3"/>
        <v>0</v>
      </c>
      <c r="AB230" s="456">
        <f t="shared" si="4"/>
        <v>0</v>
      </c>
      <c r="AC230" s="456">
        <f t="shared" si="5"/>
        <v>0</v>
      </c>
      <c r="AD230" s="456">
        <f t="shared" si="6"/>
        <v>0</v>
      </c>
      <c r="AE230" s="456">
        <f t="shared" si="7"/>
        <v>0</v>
      </c>
      <c r="AF230" s="456">
        <f t="shared" si="8"/>
        <v>0</v>
      </c>
      <c r="AG230" s="456">
        <f t="shared" si="9"/>
        <v>0</v>
      </c>
      <c r="AH230" s="456">
        <f t="shared" si="10"/>
        <v>0</v>
      </c>
      <c r="AI230" s="438" t="s">
        <v>648</v>
      </c>
      <c r="AJ230" s="456">
        <f t="shared" si="11"/>
        <v>0</v>
      </c>
      <c r="AK230" s="456">
        <f t="shared" si="12"/>
        <v>0</v>
      </c>
      <c r="AL230" s="456">
        <f t="shared" si="13"/>
        <v>0</v>
      </c>
      <c r="AN230" s="456">
        <v>21</v>
      </c>
      <c r="AO230" s="456">
        <f t="shared" si="14"/>
        <v>0</v>
      </c>
      <c r="AP230" s="456">
        <f t="shared" si="15"/>
        <v>0</v>
      </c>
      <c r="AQ230" s="458" t="s">
        <v>651</v>
      </c>
      <c r="AV230" s="456">
        <f t="shared" si="16"/>
        <v>0</v>
      </c>
      <c r="AW230" s="456">
        <f t="shared" si="17"/>
        <v>0</v>
      </c>
      <c r="AX230" s="456">
        <f t="shared" si="18"/>
        <v>0</v>
      </c>
      <c r="AY230" s="458" t="s">
        <v>882</v>
      </c>
      <c r="AZ230" s="458" t="s">
        <v>883</v>
      </c>
      <c r="BA230" s="438" t="s">
        <v>656</v>
      </c>
      <c r="BC230" s="456">
        <f t="shared" si="19"/>
        <v>0</v>
      </c>
      <c r="BD230" s="456">
        <f t="shared" si="20"/>
        <v>0</v>
      </c>
      <c r="BE230" s="456">
        <v>0</v>
      </c>
      <c r="BF230" s="456">
        <f>230</f>
        <v>230</v>
      </c>
      <c r="BH230" s="456">
        <f t="shared" si="21"/>
        <v>0</v>
      </c>
      <c r="BI230" s="456">
        <f t="shared" si="22"/>
        <v>0</v>
      </c>
      <c r="BJ230" s="456">
        <f t="shared" si="23"/>
        <v>0</v>
      </c>
      <c r="BK230" s="456"/>
      <c r="BL230" s="456">
        <v>85</v>
      </c>
      <c r="BW230" s="456">
        <v>21</v>
      </c>
      <c r="BX230" s="459" t="s">
        <v>1243</v>
      </c>
    </row>
    <row r="231" spans="1:76" ht="13.5">
      <c r="A231" s="454" t="s">
        <v>954</v>
      </c>
      <c r="B231" s="455" t="s">
        <v>1244</v>
      </c>
      <c r="C231" s="428" t="s">
        <v>1245</v>
      </c>
      <c r="D231" s="424"/>
      <c r="E231" s="455" t="s">
        <v>14</v>
      </c>
      <c r="F231" s="456">
        <v>4</v>
      </c>
      <c r="G231" s="456">
        <v>0</v>
      </c>
      <c r="H231" s="456">
        <f t="shared" si="0"/>
        <v>0</v>
      </c>
      <c r="I231" s="456">
        <f t="shared" si="1"/>
        <v>0</v>
      </c>
      <c r="J231" s="456">
        <f t="shared" si="2"/>
        <v>0</v>
      </c>
      <c r="K231" s="457" t="s">
        <v>648</v>
      </c>
      <c r="Z231" s="456">
        <f t="shared" si="3"/>
        <v>0</v>
      </c>
      <c r="AB231" s="456">
        <f t="shared" si="4"/>
        <v>0</v>
      </c>
      <c r="AC231" s="456">
        <f t="shared" si="5"/>
        <v>0</v>
      </c>
      <c r="AD231" s="456">
        <f t="shared" si="6"/>
        <v>0</v>
      </c>
      <c r="AE231" s="456">
        <f t="shared" si="7"/>
        <v>0</v>
      </c>
      <c r="AF231" s="456">
        <f t="shared" si="8"/>
        <v>0</v>
      </c>
      <c r="AG231" s="456">
        <f t="shared" si="9"/>
        <v>0</v>
      </c>
      <c r="AH231" s="456">
        <f t="shared" si="10"/>
        <v>0</v>
      </c>
      <c r="AI231" s="438" t="s">
        <v>648</v>
      </c>
      <c r="AJ231" s="456">
        <f t="shared" si="11"/>
        <v>0</v>
      </c>
      <c r="AK231" s="456">
        <f t="shared" si="12"/>
        <v>0</v>
      </c>
      <c r="AL231" s="456">
        <f t="shared" si="13"/>
        <v>0</v>
      </c>
      <c r="AN231" s="456">
        <v>21</v>
      </c>
      <c r="AO231" s="456">
        <f t="shared" si="14"/>
        <v>0</v>
      </c>
      <c r="AP231" s="456">
        <f t="shared" si="15"/>
        <v>0</v>
      </c>
      <c r="AQ231" s="458" t="s">
        <v>651</v>
      </c>
      <c r="AV231" s="456">
        <f t="shared" si="16"/>
        <v>0</v>
      </c>
      <c r="AW231" s="456">
        <f t="shared" si="17"/>
        <v>0</v>
      </c>
      <c r="AX231" s="456">
        <f t="shared" si="18"/>
        <v>0</v>
      </c>
      <c r="AY231" s="458" t="s">
        <v>882</v>
      </c>
      <c r="AZ231" s="458" t="s">
        <v>883</v>
      </c>
      <c r="BA231" s="438" t="s">
        <v>656</v>
      </c>
      <c r="BC231" s="456">
        <f t="shared" si="19"/>
        <v>0</v>
      </c>
      <c r="BD231" s="456">
        <f t="shared" si="20"/>
        <v>0</v>
      </c>
      <c r="BE231" s="456">
        <v>0</v>
      </c>
      <c r="BF231" s="456">
        <f>231</f>
        <v>231</v>
      </c>
      <c r="BH231" s="456">
        <f t="shared" si="21"/>
        <v>0</v>
      </c>
      <c r="BI231" s="456">
        <f t="shared" si="22"/>
        <v>0</v>
      </c>
      <c r="BJ231" s="456">
        <f t="shared" si="23"/>
        <v>0</v>
      </c>
      <c r="BK231" s="456"/>
      <c r="BL231" s="456">
        <v>85</v>
      </c>
      <c r="BW231" s="456">
        <v>21</v>
      </c>
      <c r="BX231" s="459" t="s">
        <v>1245</v>
      </c>
    </row>
    <row r="232" spans="1:76" ht="13.5">
      <c r="A232" s="454" t="s">
        <v>958</v>
      </c>
      <c r="B232" s="455" t="s">
        <v>1246</v>
      </c>
      <c r="C232" s="428" t="s">
        <v>1247</v>
      </c>
      <c r="D232" s="424"/>
      <c r="E232" s="455" t="s">
        <v>14</v>
      </c>
      <c r="F232" s="456">
        <v>4</v>
      </c>
      <c r="G232" s="456">
        <v>0</v>
      </c>
      <c r="H232" s="456">
        <f t="shared" si="0"/>
        <v>0</v>
      </c>
      <c r="I232" s="456">
        <f t="shared" si="1"/>
        <v>0</v>
      </c>
      <c r="J232" s="456">
        <f t="shared" si="2"/>
        <v>0</v>
      </c>
      <c r="K232" s="457" t="s">
        <v>648</v>
      </c>
      <c r="Z232" s="456">
        <f t="shared" si="3"/>
        <v>0</v>
      </c>
      <c r="AB232" s="456">
        <f t="shared" si="4"/>
        <v>0</v>
      </c>
      <c r="AC232" s="456">
        <f t="shared" si="5"/>
        <v>0</v>
      </c>
      <c r="AD232" s="456">
        <f t="shared" si="6"/>
        <v>0</v>
      </c>
      <c r="AE232" s="456">
        <f t="shared" si="7"/>
        <v>0</v>
      </c>
      <c r="AF232" s="456">
        <f t="shared" si="8"/>
        <v>0</v>
      </c>
      <c r="AG232" s="456">
        <f t="shared" si="9"/>
        <v>0</v>
      </c>
      <c r="AH232" s="456">
        <f t="shared" si="10"/>
        <v>0</v>
      </c>
      <c r="AI232" s="438" t="s">
        <v>648</v>
      </c>
      <c r="AJ232" s="456">
        <f t="shared" si="11"/>
        <v>0</v>
      </c>
      <c r="AK232" s="456">
        <f t="shared" si="12"/>
        <v>0</v>
      </c>
      <c r="AL232" s="456">
        <f t="shared" si="13"/>
        <v>0</v>
      </c>
      <c r="AN232" s="456">
        <v>21</v>
      </c>
      <c r="AO232" s="456">
        <f t="shared" si="14"/>
        <v>0</v>
      </c>
      <c r="AP232" s="456">
        <f t="shared" si="15"/>
        <v>0</v>
      </c>
      <c r="AQ232" s="458" t="s">
        <v>651</v>
      </c>
      <c r="AV232" s="456">
        <f t="shared" si="16"/>
        <v>0</v>
      </c>
      <c r="AW232" s="456">
        <f t="shared" si="17"/>
        <v>0</v>
      </c>
      <c r="AX232" s="456">
        <f t="shared" si="18"/>
        <v>0</v>
      </c>
      <c r="AY232" s="458" t="s">
        <v>882</v>
      </c>
      <c r="AZ232" s="458" t="s">
        <v>883</v>
      </c>
      <c r="BA232" s="438" t="s">
        <v>656</v>
      </c>
      <c r="BC232" s="456">
        <f t="shared" si="19"/>
        <v>0</v>
      </c>
      <c r="BD232" s="456">
        <f t="shared" si="20"/>
        <v>0</v>
      </c>
      <c r="BE232" s="456">
        <v>0</v>
      </c>
      <c r="BF232" s="456">
        <f>232</f>
        <v>232</v>
      </c>
      <c r="BH232" s="456">
        <f t="shared" si="21"/>
        <v>0</v>
      </c>
      <c r="BI232" s="456">
        <f t="shared" si="22"/>
        <v>0</v>
      </c>
      <c r="BJ232" s="456">
        <f t="shared" si="23"/>
        <v>0</v>
      </c>
      <c r="BK232" s="456"/>
      <c r="BL232" s="456">
        <v>85</v>
      </c>
      <c r="BW232" s="456">
        <v>21</v>
      </c>
      <c r="BX232" s="459" t="s">
        <v>1247</v>
      </c>
    </row>
    <row r="233" spans="1:76" ht="13.5">
      <c r="A233" s="454" t="s">
        <v>961</v>
      </c>
      <c r="B233" s="455" t="s">
        <v>1248</v>
      </c>
      <c r="C233" s="428" t="s">
        <v>1249</v>
      </c>
      <c r="D233" s="424"/>
      <c r="E233" s="455" t="s">
        <v>14</v>
      </c>
      <c r="F233" s="456">
        <v>2</v>
      </c>
      <c r="G233" s="456">
        <v>0</v>
      </c>
      <c r="H233" s="456">
        <f t="shared" si="0"/>
        <v>0</v>
      </c>
      <c r="I233" s="456">
        <f t="shared" si="1"/>
        <v>0</v>
      </c>
      <c r="J233" s="456">
        <f t="shared" si="2"/>
        <v>0</v>
      </c>
      <c r="K233" s="457" t="s">
        <v>648</v>
      </c>
      <c r="Z233" s="456">
        <f t="shared" si="3"/>
        <v>0</v>
      </c>
      <c r="AB233" s="456">
        <f t="shared" si="4"/>
        <v>0</v>
      </c>
      <c r="AC233" s="456">
        <f t="shared" si="5"/>
        <v>0</v>
      </c>
      <c r="AD233" s="456">
        <f t="shared" si="6"/>
        <v>0</v>
      </c>
      <c r="AE233" s="456">
        <f t="shared" si="7"/>
        <v>0</v>
      </c>
      <c r="AF233" s="456">
        <f t="shared" si="8"/>
        <v>0</v>
      </c>
      <c r="AG233" s="456">
        <f t="shared" si="9"/>
        <v>0</v>
      </c>
      <c r="AH233" s="456">
        <f t="shared" si="10"/>
        <v>0</v>
      </c>
      <c r="AI233" s="438" t="s">
        <v>648</v>
      </c>
      <c r="AJ233" s="456">
        <f t="shared" si="11"/>
        <v>0</v>
      </c>
      <c r="AK233" s="456">
        <f t="shared" si="12"/>
        <v>0</v>
      </c>
      <c r="AL233" s="456">
        <f t="shared" si="13"/>
        <v>0</v>
      </c>
      <c r="AN233" s="456">
        <v>21</v>
      </c>
      <c r="AO233" s="456">
        <f t="shared" si="14"/>
        <v>0</v>
      </c>
      <c r="AP233" s="456">
        <f t="shared" si="15"/>
        <v>0</v>
      </c>
      <c r="AQ233" s="458" t="s">
        <v>651</v>
      </c>
      <c r="AV233" s="456">
        <f t="shared" si="16"/>
        <v>0</v>
      </c>
      <c r="AW233" s="456">
        <f t="shared" si="17"/>
        <v>0</v>
      </c>
      <c r="AX233" s="456">
        <f t="shared" si="18"/>
        <v>0</v>
      </c>
      <c r="AY233" s="458" t="s">
        <v>882</v>
      </c>
      <c r="AZ233" s="458" t="s">
        <v>883</v>
      </c>
      <c r="BA233" s="438" t="s">
        <v>656</v>
      </c>
      <c r="BC233" s="456">
        <f t="shared" si="19"/>
        <v>0</v>
      </c>
      <c r="BD233" s="456">
        <f t="shared" si="20"/>
        <v>0</v>
      </c>
      <c r="BE233" s="456">
        <v>0</v>
      </c>
      <c r="BF233" s="456">
        <f>233</f>
        <v>233</v>
      </c>
      <c r="BH233" s="456">
        <f t="shared" si="21"/>
        <v>0</v>
      </c>
      <c r="BI233" s="456">
        <f t="shared" si="22"/>
        <v>0</v>
      </c>
      <c r="BJ233" s="456">
        <f t="shared" si="23"/>
        <v>0</v>
      </c>
      <c r="BK233" s="456"/>
      <c r="BL233" s="456">
        <v>85</v>
      </c>
      <c r="BW233" s="456">
        <v>21</v>
      </c>
      <c r="BX233" s="459" t="s">
        <v>1249</v>
      </c>
    </row>
    <row r="234" spans="1:76" ht="13.5">
      <c r="A234" s="454" t="s">
        <v>964</v>
      </c>
      <c r="B234" s="455" t="s">
        <v>1250</v>
      </c>
      <c r="C234" s="428" t="s">
        <v>1251</v>
      </c>
      <c r="D234" s="424"/>
      <c r="E234" s="455" t="s">
        <v>14</v>
      </c>
      <c r="F234" s="456">
        <v>5</v>
      </c>
      <c r="G234" s="456">
        <v>0</v>
      </c>
      <c r="H234" s="456">
        <f t="shared" si="0"/>
        <v>0</v>
      </c>
      <c r="I234" s="456">
        <f t="shared" si="1"/>
        <v>0</v>
      </c>
      <c r="J234" s="456">
        <f t="shared" si="2"/>
        <v>0</v>
      </c>
      <c r="K234" s="457" t="s">
        <v>1410</v>
      </c>
      <c r="Z234" s="456">
        <f t="shared" si="3"/>
        <v>0</v>
      </c>
      <c r="AB234" s="456">
        <f t="shared" si="4"/>
        <v>0</v>
      </c>
      <c r="AC234" s="456">
        <f t="shared" si="5"/>
        <v>0</v>
      </c>
      <c r="AD234" s="456">
        <f t="shared" si="6"/>
        <v>0</v>
      </c>
      <c r="AE234" s="456">
        <f t="shared" si="7"/>
        <v>0</v>
      </c>
      <c r="AF234" s="456">
        <f t="shared" si="8"/>
        <v>0</v>
      </c>
      <c r="AG234" s="456">
        <f t="shared" si="9"/>
        <v>0</v>
      </c>
      <c r="AH234" s="456">
        <f t="shared" si="10"/>
        <v>0</v>
      </c>
      <c r="AI234" s="438" t="s">
        <v>648</v>
      </c>
      <c r="AJ234" s="456">
        <f t="shared" si="11"/>
        <v>0</v>
      </c>
      <c r="AK234" s="456">
        <f t="shared" si="12"/>
        <v>0</v>
      </c>
      <c r="AL234" s="456">
        <f t="shared" si="13"/>
        <v>0</v>
      </c>
      <c r="AN234" s="456">
        <v>21</v>
      </c>
      <c r="AO234" s="456">
        <f>G234*0.000024082</f>
        <v>0</v>
      </c>
      <c r="AP234" s="456">
        <f>G234*(1-0.000024082)</f>
        <v>0</v>
      </c>
      <c r="AQ234" s="458" t="s">
        <v>651</v>
      </c>
      <c r="AV234" s="456">
        <f t="shared" si="16"/>
        <v>0</v>
      </c>
      <c r="AW234" s="456">
        <f t="shared" si="17"/>
        <v>0</v>
      </c>
      <c r="AX234" s="456">
        <f t="shared" si="18"/>
        <v>0</v>
      </c>
      <c r="AY234" s="458" t="s">
        <v>882</v>
      </c>
      <c r="AZ234" s="458" t="s">
        <v>883</v>
      </c>
      <c r="BA234" s="438" t="s">
        <v>656</v>
      </c>
      <c r="BC234" s="456">
        <f t="shared" si="19"/>
        <v>0</v>
      </c>
      <c r="BD234" s="456">
        <f t="shared" si="20"/>
        <v>0</v>
      </c>
      <c r="BE234" s="456">
        <v>0</v>
      </c>
      <c r="BF234" s="456">
        <f>234</f>
        <v>234</v>
      </c>
      <c r="BH234" s="456">
        <f t="shared" si="21"/>
        <v>0</v>
      </c>
      <c r="BI234" s="456">
        <f t="shared" si="22"/>
        <v>0</v>
      </c>
      <c r="BJ234" s="456">
        <f t="shared" si="23"/>
        <v>0</v>
      </c>
      <c r="BK234" s="456"/>
      <c r="BL234" s="456">
        <v>85</v>
      </c>
      <c r="BW234" s="456">
        <v>21</v>
      </c>
      <c r="BX234" s="459" t="s">
        <v>1251</v>
      </c>
    </row>
    <row r="235" spans="1:76" ht="13.5">
      <c r="A235" s="460"/>
      <c r="C235" s="461" t="s">
        <v>1252</v>
      </c>
      <c r="D235" s="461" t="s">
        <v>648</v>
      </c>
      <c r="F235" s="462">
        <v>2</v>
      </c>
      <c r="K235" s="463"/>
    </row>
    <row r="236" spans="1:76" ht="13.5">
      <c r="A236" s="460"/>
      <c r="C236" s="461" t="s">
        <v>1253</v>
      </c>
      <c r="D236" s="461" t="s">
        <v>648</v>
      </c>
      <c r="F236" s="462">
        <v>3</v>
      </c>
      <c r="K236" s="463"/>
    </row>
    <row r="237" spans="1:76" ht="13.5">
      <c r="A237" s="454" t="s">
        <v>967</v>
      </c>
      <c r="B237" s="455" t="s">
        <v>1254</v>
      </c>
      <c r="C237" s="428" t="s">
        <v>1255</v>
      </c>
      <c r="D237" s="424"/>
      <c r="E237" s="455" t="s">
        <v>14</v>
      </c>
      <c r="F237" s="456">
        <v>2</v>
      </c>
      <c r="G237" s="456">
        <v>0</v>
      </c>
      <c r="H237" s="456">
        <f>F237*AO237</f>
        <v>0</v>
      </c>
      <c r="I237" s="456">
        <f>F237*AP237</f>
        <v>0</v>
      </c>
      <c r="J237" s="456">
        <f>F237*G237</f>
        <v>0</v>
      </c>
      <c r="K237" s="457" t="s">
        <v>648</v>
      </c>
      <c r="Z237" s="456">
        <f>IF(AQ237="5",BJ237,0)</f>
        <v>0</v>
      </c>
      <c r="AB237" s="456">
        <f>IF(AQ237="1",BH237,0)</f>
        <v>0</v>
      </c>
      <c r="AC237" s="456">
        <f>IF(AQ237="1",BI237,0)</f>
        <v>0</v>
      </c>
      <c r="AD237" s="456">
        <f>IF(AQ237="7",BH237,0)</f>
        <v>0</v>
      </c>
      <c r="AE237" s="456">
        <f>IF(AQ237="7",BI237,0)</f>
        <v>0</v>
      </c>
      <c r="AF237" s="456">
        <f>IF(AQ237="2",BH237,0)</f>
        <v>0</v>
      </c>
      <c r="AG237" s="456">
        <f>IF(AQ237="2",BI237,0)</f>
        <v>0</v>
      </c>
      <c r="AH237" s="456">
        <f>IF(AQ237="0",BJ237,0)</f>
        <v>0</v>
      </c>
      <c r="AI237" s="438" t="s">
        <v>648</v>
      </c>
      <c r="AJ237" s="456">
        <f>IF(AN237=0,J237,0)</f>
        <v>0</v>
      </c>
      <c r="AK237" s="456">
        <f>IF(AN237=12,J237,0)</f>
        <v>0</v>
      </c>
      <c r="AL237" s="456">
        <f>IF(AN237=21,J237,0)</f>
        <v>0</v>
      </c>
      <c r="AN237" s="456">
        <v>21</v>
      </c>
      <c r="AO237" s="456">
        <f>G237*1</f>
        <v>0</v>
      </c>
      <c r="AP237" s="456">
        <f>G237*(1-1)</f>
        <v>0</v>
      </c>
      <c r="AQ237" s="458" t="s">
        <v>651</v>
      </c>
      <c r="AV237" s="456">
        <f>AW237+AX237</f>
        <v>0</v>
      </c>
      <c r="AW237" s="456">
        <f>F237*AO237</f>
        <v>0</v>
      </c>
      <c r="AX237" s="456">
        <f>F237*AP237</f>
        <v>0</v>
      </c>
      <c r="AY237" s="458" t="s">
        <v>882</v>
      </c>
      <c r="AZ237" s="458" t="s">
        <v>883</v>
      </c>
      <c r="BA237" s="438" t="s">
        <v>656</v>
      </c>
      <c r="BC237" s="456">
        <f>AW237+AX237</f>
        <v>0</v>
      </c>
      <c r="BD237" s="456">
        <f>G237/(100-BE237)*100</f>
        <v>0</v>
      </c>
      <c r="BE237" s="456">
        <v>0</v>
      </c>
      <c r="BF237" s="456">
        <f>237</f>
        <v>237</v>
      </c>
      <c r="BH237" s="456">
        <f>F237*AO237</f>
        <v>0</v>
      </c>
      <c r="BI237" s="456">
        <f>F237*AP237</f>
        <v>0</v>
      </c>
      <c r="BJ237" s="456">
        <f>F237*G237</f>
        <v>0</v>
      </c>
      <c r="BK237" s="456"/>
      <c r="BL237" s="456">
        <v>85</v>
      </c>
      <c r="BW237" s="456">
        <v>21</v>
      </c>
      <c r="BX237" s="459" t="s">
        <v>1255</v>
      </c>
    </row>
    <row r="238" spans="1:76" ht="13.5">
      <c r="A238" s="454" t="s">
        <v>973</v>
      </c>
      <c r="B238" s="455" t="s">
        <v>1256</v>
      </c>
      <c r="C238" s="428" t="s">
        <v>1257</v>
      </c>
      <c r="D238" s="424"/>
      <c r="E238" s="455" t="s">
        <v>14</v>
      </c>
      <c r="F238" s="456">
        <v>3</v>
      </c>
      <c r="G238" s="456">
        <v>0</v>
      </c>
      <c r="H238" s="456">
        <f>F238*AO238</f>
        <v>0</v>
      </c>
      <c r="I238" s="456">
        <f>F238*AP238</f>
        <v>0</v>
      </c>
      <c r="J238" s="456">
        <f>F238*G238</f>
        <v>0</v>
      </c>
      <c r="K238" s="457" t="s">
        <v>648</v>
      </c>
      <c r="Z238" s="456">
        <f>IF(AQ238="5",BJ238,0)</f>
        <v>0</v>
      </c>
      <c r="AB238" s="456">
        <f>IF(AQ238="1",BH238,0)</f>
        <v>0</v>
      </c>
      <c r="AC238" s="456">
        <f>IF(AQ238="1",BI238,0)</f>
        <v>0</v>
      </c>
      <c r="AD238" s="456">
        <f>IF(AQ238="7",BH238,0)</f>
        <v>0</v>
      </c>
      <c r="AE238" s="456">
        <f>IF(AQ238="7",BI238,0)</f>
        <v>0</v>
      </c>
      <c r="AF238" s="456">
        <f>IF(AQ238="2",BH238,0)</f>
        <v>0</v>
      </c>
      <c r="AG238" s="456">
        <f>IF(AQ238="2",BI238,0)</f>
        <v>0</v>
      </c>
      <c r="AH238" s="456">
        <f>IF(AQ238="0",BJ238,0)</f>
        <v>0</v>
      </c>
      <c r="AI238" s="438" t="s">
        <v>648</v>
      </c>
      <c r="AJ238" s="456">
        <f>IF(AN238=0,J238,0)</f>
        <v>0</v>
      </c>
      <c r="AK238" s="456">
        <f>IF(AN238=12,J238,0)</f>
        <v>0</v>
      </c>
      <c r="AL238" s="456">
        <f>IF(AN238=21,J238,0)</f>
        <v>0</v>
      </c>
      <c r="AN238" s="456">
        <v>21</v>
      </c>
      <c r="AO238" s="456">
        <f>G238*1</f>
        <v>0</v>
      </c>
      <c r="AP238" s="456">
        <f>G238*(1-1)</f>
        <v>0</v>
      </c>
      <c r="AQ238" s="458" t="s">
        <v>651</v>
      </c>
      <c r="AV238" s="456">
        <f>AW238+AX238</f>
        <v>0</v>
      </c>
      <c r="AW238" s="456">
        <f>F238*AO238</f>
        <v>0</v>
      </c>
      <c r="AX238" s="456">
        <f>F238*AP238</f>
        <v>0</v>
      </c>
      <c r="AY238" s="458" t="s">
        <v>882</v>
      </c>
      <c r="AZ238" s="458" t="s">
        <v>883</v>
      </c>
      <c r="BA238" s="438" t="s">
        <v>656</v>
      </c>
      <c r="BC238" s="456">
        <f>AW238+AX238</f>
        <v>0</v>
      </c>
      <c r="BD238" s="456">
        <f>G238/(100-BE238)*100</f>
        <v>0</v>
      </c>
      <c r="BE238" s="456">
        <v>0</v>
      </c>
      <c r="BF238" s="456">
        <f>238</f>
        <v>238</v>
      </c>
      <c r="BH238" s="456">
        <f>F238*AO238</f>
        <v>0</v>
      </c>
      <c r="BI238" s="456">
        <f>F238*AP238</f>
        <v>0</v>
      </c>
      <c r="BJ238" s="456">
        <f>F238*G238</f>
        <v>0</v>
      </c>
      <c r="BK238" s="456"/>
      <c r="BL238" s="456">
        <v>85</v>
      </c>
      <c r="BW238" s="456">
        <v>21</v>
      </c>
      <c r="BX238" s="459" t="s">
        <v>1257</v>
      </c>
    </row>
    <row r="239" spans="1:76" ht="13.5">
      <c r="A239" s="454" t="s">
        <v>977</v>
      </c>
      <c r="B239" s="455" t="s">
        <v>1258</v>
      </c>
      <c r="C239" s="428" t="s">
        <v>1259</v>
      </c>
      <c r="D239" s="424"/>
      <c r="E239" s="455" t="s">
        <v>14</v>
      </c>
      <c r="F239" s="456">
        <v>4</v>
      </c>
      <c r="G239" s="456">
        <v>0</v>
      </c>
      <c r="H239" s="456">
        <f>F239*AO239</f>
        <v>0</v>
      </c>
      <c r="I239" s="456">
        <f>F239*AP239</f>
        <v>0</v>
      </c>
      <c r="J239" s="456">
        <f>F239*G239</f>
        <v>0</v>
      </c>
      <c r="K239" s="457" t="s">
        <v>1410</v>
      </c>
      <c r="Z239" s="456">
        <f>IF(AQ239="5",BJ239,0)</f>
        <v>0</v>
      </c>
      <c r="AB239" s="456">
        <f>IF(AQ239="1",BH239,0)</f>
        <v>0</v>
      </c>
      <c r="AC239" s="456">
        <f>IF(AQ239="1",BI239,0)</f>
        <v>0</v>
      </c>
      <c r="AD239" s="456">
        <f>IF(AQ239="7",BH239,0)</f>
        <v>0</v>
      </c>
      <c r="AE239" s="456">
        <f>IF(AQ239="7",BI239,0)</f>
        <v>0</v>
      </c>
      <c r="AF239" s="456">
        <f>IF(AQ239="2",BH239,0)</f>
        <v>0</v>
      </c>
      <c r="AG239" s="456">
        <f>IF(AQ239="2",BI239,0)</f>
        <v>0</v>
      </c>
      <c r="AH239" s="456">
        <f>IF(AQ239="0",BJ239,0)</f>
        <v>0</v>
      </c>
      <c r="AI239" s="438" t="s">
        <v>648</v>
      </c>
      <c r="AJ239" s="456">
        <f>IF(AN239=0,J239,0)</f>
        <v>0</v>
      </c>
      <c r="AK239" s="456">
        <f>IF(AN239=12,J239,0)</f>
        <v>0</v>
      </c>
      <c r="AL239" s="456">
        <f>IF(AN239=21,J239,0)</f>
        <v>0</v>
      </c>
      <c r="AN239" s="456">
        <v>21</v>
      </c>
      <c r="AO239" s="456">
        <f>G239*0.000025918</f>
        <v>0</v>
      </c>
      <c r="AP239" s="456">
        <f>G239*(1-0.000025918)</f>
        <v>0</v>
      </c>
      <c r="AQ239" s="458" t="s">
        <v>651</v>
      </c>
      <c r="AV239" s="456">
        <f>AW239+AX239</f>
        <v>0</v>
      </c>
      <c r="AW239" s="456">
        <f>F239*AO239</f>
        <v>0</v>
      </c>
      <c r="AX239" s="456">
        <f>F239*AP239</f>
        <v>0</v>
      </c>
      <c r="AY239" s="458" t="s">
        <v>882</v>
      </c>
      <c r="AZ239" s="458" t="s">
        <v>883</v>
      </c>
      <c r="BA239" s="438" t="s">
        <v>656</v>
      </c>
      <c r="BC239" s="456">
        <f>AW239+AX239</f>
        <v>0</v>
      </c>
      <c r="BD239" s="456">
        <f>G239/(100-BE239)*100</f>
        <v>0</v>
      </c>
      <c r="BE239" s="456">
        <v>0</v>
      </c>
      <c r="BF239" s="456">
        <f>239</f>
        <v>239</v>
      </c>
      <c r="BH239" s="456">
        <f>F239*AO239</f>
        <v>0</v>
      </c>
      <c r="BI239" s="456">
        <f>F239*AP239</f>
        <v>0</v>
      </c>
      <c r="BJ239" s="456">
        <f>F239*G239</f>
        <v>0</v>
      </c>
      <c r="BK239" s="456"/>
      <c r="BL239" s="456">
        <v>85</v>
      </c>
      <c r="BW239" s="456">
        <v>21</v>
      </c>
      <c r="BX239" s="459" t="s">
        <v>1259</v>
      </c>
    </row>
    <row r="240" spans="1:76" ht="13.5">
      <c r="A240" s="460"/>
      <c r="C240" s="461" t="s">
        <v>1260</v>
      </c>
      <c r="D240" s="461" t="s">
        <v>648</v>
      </c>
      <c r="F240" s="462">
        <v>2</v>
      </c>
      <c r="K240" s="463"/>
    </row>
    <row r="241" spans="1:76" ht="13.5">
      <c r="A241" s="460"/>
      <c r="C241" s="461" t="s">
        <v>1261</v>
      </c>
      <c r="D241" s="461" t="s">
        <v>648</v>
      </c>
      <c r="F241" s="462">
        <v>2</v>
      </c>
      <c r="K241" s="463"/>
    </row>
    <row r="242" spans="1:76" ht="13.5">
      <c r="A242" s="454" t="s">
        <v>982</v>
      </c>
      <c r="B242" s="455" t="s">
        <v>1262</v>
      </c>
      <c r="C242" s="428" t="s">
        <v>1263</v>
      </c>
      <c r="D242" s="424"/>
      <c r="E242" s="455" t="s">
        <v>14</v>
      </c>
      <c r="F242" s="456">
        <v>2</v>
      </c>
      <c r="G242" s="456">
        <v>0</v>
      </c>
      <c r="H242" s="456">
        <f>F242*AO242</f>
        <v>0</v>
      </c>
      <c r="I242" s="456">
        <f>F242*AP242</f>
        <v>0</v>
      </c>
      <c r="J242" s="456">
        <f>F242*G242</f>
        <v>0</v>
      </c>
      <c r="K242" s="457" t="s">
        <v>648</v>
      </c>
      <c r="Z242" s="456">
        <f>IF(AQ242="5",BJ242,0)</f>
        <v>0</v>
      </c>
      <c r="AB242" s="456">
        <f>IF(AQ242="1",BH242,0)</f>
        <v>0</v>
      </c>
      <c r="AC242" s="456">
        <f>IF(AQ242="1",BI242,0)</f>
        <v>0</v>
      </c>
      <c r="AD242" s="456">
        <f>IF(AQ242="7",BH242,0)</f>
        <v>0</v>
      </c>
      <c r="AE242" s="456">
        <f>IF(AQ242="7",BI242,0)</f>
        <v>0</v>
      </c>
      <c r="AF242" s="456">
        <f>IF(AQ242="2",BH242,0)</f>
        <v>0</v>
      </c>
      <c r="AG242" s="456">
        <f>IF(AQ242="2",BI242,0)</f>
        <v>0</v>
      </c>
      <c r="AH242" s="456">
        <f>IF(AQ242="0",BJ242,0)</f>
        <v>0</v>
      </c>
      <c r="AI242" s="438" t="s">
        <v>648</v>
      </c>
      <c r="AJ242" s="456">
        <f>IF(AN242=0,J242,0)</f>
        <v>0</v>
      </c>
      <c r="AK242" s="456">
        <f>IF(AN242=12,J242,0)</f>
        <v>0</v>
      </c>
      <c r="AL242" s="456">
        <f>IF(AN242=21,J242,0)</f>
        <v>0</v>
      </c>
      <c r="AN242" s="456">
        <v>21</v>
      </c>
      <c r="AO242" s="456">
        <f>G242*1</f>
        <v>0</v>
      </c>
      <c r="AP242" s="456">
        <f>G242*(1-1)</f>
        <v>0</v>
      </c>
      <c r="AQ242" s="458" t="s">
        <v>651</v>
      </c>
      <c r="AV242" s="456">
        <f>AW242+AX242</f>
        <v>0</v>
      </c>
      <c r="AW242" s="456">
        <f>F242*AO242</f>
        <v>0</v>
      </c>
      <c r="AX242" s="456">
        <f>F242*AP242</f>
        <v>0</v>
      </c>
      <c r="AY242" s="458" t="s">
        <v>882</v>
      </c>
      <c r="AZ242" s="458" t="s">
        <v>883</v>
      </c>
      <c r="BA242" s="438" t="s">
        <v>656</v>
      </c>
      <c r="BC242" s="456">
        <f>AW242+AX242</f>
        <v>0</v>
      </c>
      <c r="BD242" s="456">
        <f>G242/(100-BE242)*100</f>
        <v>0</v>
      </c>
      <c r="BE242" s="456">
        <v>0</v>
      </c>
      <c r="BF242" s="456">
        <f>242</f>
        <v>242</v>
      </c>
      <c r="BH242" s="456">
        <f>F242*AO242</f>
        <v>0</v>
      </c>
      <c r="BI242" s="456">
        <f>F242*AP242</f>
        <v>0</v>
      </c>
      <c r="BJ242" s="456">
        <f>F242*G242</f>
        <v>0</v>
      </c>
      <c r="BK242" s="456"/>
      <c r="BL242" s="456">
        <v>85</v>
      </c>
      <c r="BW242" s="456">
        <v>21</v>
      </c>
      <c r="BX242" s="459" t="s">
        <v>1263</v>
      </c>
    </row>
    <row r="243" spans="1:76" ht="13.5">
      <c r="A243" s="454" t="s">
        <v>986</v>
      </c>
      <c r="B243" s="455" t="s">
        <v>1264</v>
      </c>
      <c r="C243" s="428" t="s">
        <v>1265</v>
      </c>
      <c r="D243" s="424"/>
      <c r="E243" s="455" t="s">
        <v>14</v>
      </c>
      <c r="F243" s="456">
        <v>2</v>
      </c>
      <c r="G243" s="456">
        <v>0</v>
      </c>
      <c r="H243" s="456">
        <f>F243*AO243</f>
        <v>0</v>
      </c>
      <c r="I243" s="456">
        <f>F243*AP243</f>
        <v>0</v>
      </c>
      <c r="J243" s="456">
        <f>F243*G243</f>
        <v>0</v>
      </c>
      <c r="K243" s="457" t="s">
        <v>648</v>
      </c>
      <c r="Z243" s="456">
        <f>IF(AQ243="5",BJ243,0)</f>
        <v>0</v>
      </c>
      <c r="AB243" s="456">
        <f>IF(AQ243="1",BH243,0)</f>
        <v>0</v>
      </c>
      <c r="AC243" s="456">
        <f>IF(AQ243="1",BI243,0)</f>
        <v>0</v>
      </c>
      <c r="AD243" s="456">
        <f>IF(AQ243="7",BH243,0)</f>
        <v>0</v>
      </c>
      <c r="AE243" s="456">
        <f>IF(AQ243="7",BI243,0)</f>
        <v>0</v>
      </c>
      <c r="AF243" s="456">
        <f>IF(AQ243="2",BH243,0)</f>
        <v>0</v>
      </c>
      <c r="AG243" s="456">
        <f>IF(AQ243="2",BI243,0)</f>
        <v>0</v>
      </c>
      <c r="AH243" s="456">
        <f>IF(AQ243="0",BJ243,0)</f>
        <v>0</v>
      </c>
      <c r="AI243" s="438" t="s">
        <v>648</v>
      </c>
      <c r="AJ243" s="456">
        <f>IF(AN243=0,J243,0)</f>
        <v>0</v>
      </c>
      <c r="AK243" s="456">
        <f>IF(AN243=12,J243,0)</f>
        <v>0</v>
      </c>
      <c r="AL243" s="456">
        <f>IF(AN243=21,J243,0)</f>
        <v>0</v>
      </c>
      <c r="AN243" s="456">
        <v>21</v>
      </c>
      <c r="AO243" s="456">
        <f>G243*1</f>
        <v>0</v>
      </c>
      <c r="AP243" s="456">
        <f>G243*(1-1)</f>
        <v>0</v>
      </c>
      <c r="AQ243" s="458" t="s">
        <v>651</v>
      </c>
      <c r="AV243" s="456">
        <f>AW243+AX243</f>
        <v>0</v>
      </c>
      <c r="AW243" s="456">
        <f>F243*AO243</f>
        <v>0</v>
      </c>
      <c r="AX243" s="456">
        <f>F243*AP243</f>
        <v>0</v>
      </c>
      <c r="AY243" s="458" t="s">
        <v>882</v>
      </c>
      <c r="AZ243" s="458" t="s">
        <v>883</v>
      </c>
      <c r="BA243" s="438" t="s">
        <v>656</v>
      </c>
      <c r="BC243" s="456">
        <f>AW243+AX243</f>
        <v>0</v>
      </c>
      <c r="BD243" s="456">
        <f>G243/(100-BE243)*100</f>
        <v>0</v>
      </c>
      <c r="BE243" s="456">
        <v>0</v>
      </c>
      <c r="BF243" s="456">
        <f>243</f>
        <v>243</v>
      </c>
      <c r="BH243" s="456">
        <f>F243*AO243</f>
        <v>0</v>
      </c>
      <c r="BI243" s="456">
        <f>F243*AP243</f>
        <v>0</v>
      </c>
      <c r="BJ243" s="456">
        <f>F243*G243</f>
        <v>0</v>
      </c>
      <c r="BK243" s="456"/>
      <c r="BL243" s="456">
        <v>85</v>
      </c>
      <c r="BW243" s="456">
        <v>21</v>
      </c>
      <c r="BX243" s="459" t="s">
        <v>1265</v>
      </c>
    </row>
    <row r="244" spans="1:76" ht="13.5">
      <c r="A244" s="448" t="s">
        <v>648</v>
      </c>
      <c r="B244" s="449" t="s">
        <v>930</v>
      </c>
      <c r="C244" s="450" t="s">
        <v>931</v>
      </c>
      <c r="D244" s="451"/>
      <c r="E244" s="452" t="s">
        <v>607</v>
      </c>
      <c r="F244" s="452" t="s">
        <v>607</v>
      </c>
      <c r="G244" s="452" t="s">
        <v>607</v>
      </c>
      <c r="H244" s="416">
        <f>SUM(H245:H260)</f>
        <v>0</v>
      </c>
      <c r="I244" s="416">
        <f>SUM(I245:I260)</f>
        <v>0</v>
      </c>
      <c r="J244" s="416">
        <f>SUM(J245:J260)</f>
        <v>0</v>
      </c>
      <c r="K244" s="453" t="s">
        <v>648</v>
      </c>
      <c r="AI244" s="438" t="s">
        <v>648</v>
      </c>
      <c r="AS244" s="416">
        <f>SUM(AJ245:AJ260)</f>
        <v>0</v>
      </c>
      <c r="AT244" s="416">
        <f>SUM(AK245:AK260)</f>
        <v>0</v>
      </c>
      <c r="AU244" s="416">
        <f>SUM(AL245:AL260)</f>
        <v>0</v>
      </c>
    </row>
    <row r="245" spans="1:76" ht="13.5">
      <c r="A245" s="454" t="s">
        <v>877</v>
      </c>
      <c r="B245" s="455" t="s">
        <v>943</v>
      </c>
      <c r="C245" s="428" t="s">
        <v>944</v>
      </c>
      <c r="D245" s="424"/>
      <c r="E245" s="455" t="s">
        <v>7</v>
      </c>
      <c r="F245" s="456">
        <v>137.9</v>
      </c>
      <c r="G245" s="456">
        <v>0</v>
      </c>
      <c r="H245" s="456">
        <f>F245*AO245</f>
        <v>0</v>
      </c>
      <c r="I245" s="456">
        <f>F245*AP245</f>
        <v>0</v>
      </c>
      <c r="J245" s="456">
        <f>F245*G245</f>
        <v>0</v>
      </c>
      <c r="K245" s="457" t="s">
        <v>1410</v>
      </c>
      <c r="Z245" s="456">
        <f>IF(AQ245="5",BJ245,0)</f>
        <v>0</v>
      </c>
      <c r="AB245" s="456">
        <f>IF(AQ245="1",BH245,0)</f>
        <v>0</v>
      </c>
      <c r="AC245" s="456">
        <f>IF(AQ245="1",BI245,0)</f>
        <v>0</v>
      </c>
      <c r="AD245" s="456">
        <f>IF(AQ245="7",BH245,0)</f>
        <v>0</v>
      </c>
      <c r="AE245" s="456">
        <f>IF(AQ245="7",BI245,0)</f>
        <v>0</v>
      </c>
      <c r="AF245" s="456">
        <f>IF(AQ245="2",BH245,0)</f>
        <v>0</v>
      </c>
      <c r="AG245" s="456">
        <f>IF(AQ245="2",BI245,0)</f>
        <v>0</v>
      </c>
      <c r="AH245" s="456">
        <f>IF(AQ245="0",BJ245,0)</f>
        <v>0</v>
      </c>
      <c r="AI245" s="438" t="s">
        <v>648</v>
      </c>
      <c r="AJ245" s="456">
        <f>IF(AN245=0,J245,0)</f>
        <v>0</v>
      </c>
      <c r="AK245" s="456">
        <f>IF(AN245=12,J245,0)</f>
        <v>0</v>
      </c>
      <c r="AL245" s="456">
        <f>IF(AN245=21,J245,0)</f>
        <v>0</v>
      </c>
      <c r="AN245" s="456">
        <v>21</v>
      </c>
      <c r="AO245" s="456">
        <f>G245*0</f>
        <v>0</v>
      </c>
      <c r="AP245" s="456">
        <f>G245*(1-0)</f>
        <v>0</v>
      </c>
      <c r="AQ245" s="458" t="s">
        <v>651</v>
      </c>
      <c r="AV245" s="456">
        <f>AW245+AX245</f>
        <v>0</v>
      </c>
      <c r="AW245" s="456">
        <f>F245*AO245</f>
        <v>0</v>
      </c>
      <c r="AX245" s="456">
        <f>F245*AP245</f>
        <v>0</v>
      </c>
      <c r="AY245" s="458" t="s">
        <v>935</v>
      </c>
      <c r="AZ245" s="458" t="s">
        <v>883</v>
      </c>
      <c r="BA245" s="438" t="s">
        <v>656</v>
      </c>
      <c r="BC245" s="456">
        <f>AW245+AX245</f>
        <v>0</v>
      </c>
      <c r="BD245" s="456">
        <f>G245/(100-BE245)*100</f>
        <v>0</v>
      </c>
      <c r="BE245" s="456">
        <v>0</v>
      </c>
      <c r="BF245" s="456">
        <f>245</f>
        <v>245</v>
      </c>
      <c r="BH245" s="456">
        <f>F245*AO245</f>
        <v>0</v>
      </c>
      <c r="BI245" s="456">
        <f>F245*AP245</f>
        <v>0</v>
      </c>
      <c r="BJ245" s="456">
        <f>F245*G245</f>
        <v>0</v>
      </c>
      <c r="BK245" s="456"/>
      <c r="BL245" s="456">
        <v>87</v>
      </c>
      <c r="BW245" s="456">
        <v>21</v>
      </c>
      <c r="BX245" s="459" t="s">
        <v>944</v>
      </c>
    </row>
    <row r="246" spans="1:76" ht="13.5">
      <c r="A246" s="460"/>
      <c r="C246" s="461" t="s">
        <v>1085</v>
      </c>
      <c r="D246" s="461" t="s">
        <v>648</v>
      </c>
      <c r="F246" s="462">
        <v>137.9</v>
      </c>
      <c r="K246" s="463"/>
    </row>
    <row r="247" spans="1:76" ht="13.5">
      <c r="A247" s="454" t="s">
        <v>993</v>
      </c>
      <c r="B247" s="455" t="s">
        <v>1266</v>
      </c>
      <c r="C247" s="428" t="s">
        <v>1267</v>
      </c>
      <c r="D247" s="424"/>
      <c r="E247" s="455" t="s">
        <v>7</v>
      </c>
      <c r="F247" s="456">
        <v>144.79499999999999</v>
      </c>
      <c r="G247" s="456">
        <v>0</v>
      </c>
      <c r="H247" s="456">
        <f>F247*AO247</f>
        <v>0</v>
      </c>
      <c r="I247" s="456">
        <f>F247*AP247</f>
        <v>0</v>
      </c>
      <c r="J247" s="456">
        <f>F247*G247</f>
        <v>0</v>
      </c>
      <c r="K247" s="457" t="s">
        <v>1410</v>
      </c>
      <c r="Z247" s="456">
        <f>IF(AQ247="5",BJ247,0)</f>
        <v>0</v>
      </c>
      <c r="AB247" s="456">
        <f>IF(AQ247="1",BH247,0)</f>
        <v>0</v>
      </c>
      <c r="AC247" s="456">
        <f>IF(AQ247="1",BI247,0)</f>
        <v>0</v>
      </c>
      <c r="AD247" s="456">
        <f>IF(AQ247="7",BH247,0)</f>
        <v>0</v>
      </c>
      <c r="AE247" s="456">
        <f>IF(AQ247="7",BI247,0)</f>
        <v>0</v>
      </c>
      <c r="AF247" s="456">
        <f>IF(AQ247="2",BH247,0)</f>
        <v>0</v>
      </c>
      <c r="AG247" s="456">
        <f>IF(AQ247="2",BI247,0)</f>
        <v>0</v>
      </c>
      <c r="AH247" s="456">
        <f>IF(AQ247="0",BJ247,0)</f>
        <v>0</v>
      </c>
      <c r="AI247" s="438" t="s">
        <v>648</v>
      </c>
      <c r="AJ247" s="456">
        <f>IF(AN247=0,J247,0)</f>
        <v>0</v>
      </c>
      <c r="AK247" s="456">
        <f>IF(AN247=12,J247,0)</f>
        <v>0</v>
      </c>
      <c r="AL247" s="456">
        <f>IF(AN247=21,J247,0)</f>
        <v>0</v>
      </c>
      <c r="AN247" s="456">
        <v>21</v>
      </c>
      <c r="AO247" s="456">
        <f>G247*1</f>
        <v>0</v>
      </c>
      <c r="AP247" s="456">
        <f>G247*(1-1)</f>
        <v>0</v>
      </c>
      <c r="AQ247" s="458" t="s">
        <v>651</v>
      </c>
      <c r="AV247" s="456">
        <f>AW247+AX247</f>
        <v>0</v>
      </c>
      <c r="AW247" s="456">
        <f>F247*AO247</f>
        <v>0</v>
      </c>
      <c r="AX247" s="456">
        <f>F247*AP247</f>
        <v>0</v>
      </c>
      <c r="AY247" s="458" t="s">
        <v>935</v>
      </c>
      <c r="AZ247" s="458" t="s">
        <v>883</v>
      </c>
      <c r="BA247" s="438" t="s">
        <v>656</v>
      </c>
      <c r="BC247" s="456">
        <f>AW247+AX247</f>
        <v>0</v>
      </c>
      <c r="BD247" s="456">
        <f>G247/(100-BE247)*100</f>
        <v>0</v>
      </c>
      <c r="BE247" s="456">
        <v>0</v>
      </c>
      <c r="BF247" s="456">
        <f>247</f>
        <v>247</v>
      </c>
      <c r="BH247" s="456">
        <f>F247*AO247</f>
        <v>0</v>
      </c>
      <c r="BI247" s="456">
        <f>F247*AP247</f>
        <v>0</v>
      </c>
      <c r="BJ247" s="456">
        <f>F247*G247</f>
        <v>0</v>
      </c>
      <c r="BK247" s="456"/>
      <c r="BL247" s="456">
        <v>87</v>
      </c>
      <c r="BW247" s="456">
        <v>21</v>
      </c>
      <c r="BX247" s="459" t="s">
        <v>1267</v>
      </c>
    </row>
    <row r="248" spans="1:76" ht="13.5">
      <c r="A248" s="460"/>
      <c r="C248" s="461" t="s">
        <v>1268</v>
      </c>
      <c r="D248" s="461" t="s">
        <v>648</v>
      </c>
      <c r="F248" s="462">
        <v>144.79499999999999</v>
      </c>
      <c r="K248" s="463"/>
    </row>
    <row r="249" spans="1:76" ht="13.5">
      <c r="A249" s="454" t="s">
        <v>930</v>
      </c>
      <c r="B249" s="455" t="s">
        <v>955</v>
      </c>
      <c r="C249" s="428" t="s">
        <v>956</v>
      </c>
      <c r="D249" s="424"/>
      <c r="E249" s="455" t="s">
        <v>7</v>
      </c>
      <c r="F249" s="456">
        <v>137.9</v>
      </c>
      <c r="G249" s="456">
        <v>0</v>
      </c>
      <c r="H249" s="456">
        <f>F249*AO249</f>
        <v>0</v>
      </c>
      <c r="I249" s="456">
        <f>F249*AP249</f>
        <v>0</v>
      </c>
      <c r="J249" s="456">
        <f>F249*G249</f>
        <v>0</v>
      </c>
      <c r="K249" s="457" t="s">
        <v>1410</v>
      </c>
      <c r="Z249" s="456">
        <f>IF(AQ249="5",BJ249,0)</f>
        <v>0</v>
      </c>
      <c r="AB249" s="456">
        <f>IF(AQ249="1",BH249,0)</f>
        <v>0</v>
      </c>
      <c r="AC249" s="456">
        <f>IF(AQ249="1",BI249,0)</f>
        <v>0</v>
      </c>
      <c r="AD249" s="456">
        <f>IF(AQ249="7",BH249,0)</f>
        <v>0</v>
      </c>
      <c r="AE249" s="456">
        <f>IF(AQ249="7",BI249,0)</f>
        <v>0</v>
      </c>
      <c r="AF249" s="456">
        <f>IF(AQ249="2",BH249,0)</f>
        <v>0</v>
      </c>
      <c r="AG249" s="456">
        <f>IF(AQ249="2",BI249,0)</f>
        <v>0</v>
      </c>
      <c r="AH249" s="456">
        <f>IF(AQ249="0",BJ249,0)</f>
        <v>0</v>
      </c>
      <c r="AI249" s="438" t="s">
        <v>648</v>
      </c>
      <c r="AJ249" s="456">
        <f>IF(AN249=0,J249,0)</f>
        <v>0</v>
      </c>
      <c r="AK249" s="456">
        <f>IF(AN249=12,J249,0)</f>
        <v>0</v>
      </c>
      <c r="AL249" s="456">
        <f>IF(AN249=21,J249,0)</f>
        <v>0</v>
      </c>
      <c r="AN249" s="456">
        <v>21</v>
      </c>
      <c r="AO249" s="456">
        <f>G249*0</f>
        <v>0</v>
      </c>
      <c r="AP249" s="456">
        <f>G249*(1-0)</f>
        <v>0</v>
      </c>
      <c r="AQ249" s="458" t="s">
        <v>651</v>
      </c>
      <c r="AV249" s="456">
        <f>AW249+AX249</f>
        <v>0</v>
      </c>
      <c r="AW249" s="456">
        <f>F249*AO249</f>
        <v>0</v>
      </c>
      <c r="AX249" s="456">
        <f>F249*AP249</f>
        <v>0</v>
      </c>
      <c r="AY249" s="458" t="s">
        <v>935</v>
      </c>
      <c r="AZ249" s="458" t="s">
        <v>883</v>
      </c>
      <c r="BA249" s="438" t="s">
        <v>656</v>
      </c>
      <c r="BC249" s="456">
        <f>AW249+AX249</f>
        <v>0</v>
      </c>
      <c r="BD249" s="456">
        <f>G249/(100-BE249)*100</f>
        <v>0</v>
      </c>
      <c r="BE249" s="456">
        <v>0</v>
      </c>
      <c r="BF249" s="456">
        <f>249</f>
        <v>249</v>
      </c>
      <c r="BH249" s="456">
        <f>F249*AO249</f>
        <v>0</v>
      </c>
      <c r="BI249" s="456">
        <f>F249*AP249</f>
        <v>0</v>
      </c>
      <c r="BJ249" s="456">
        <f>F249*G249</f>
        <v>0</v>
      </c>
      <c r="BK249" s="456"/>
      <c r="BL249" s="456">
        <v>87</v>
      </c>
      <c r="BW249" s="456">
        <v>21</v>
      </c>
      <c r="BX249" s="459" t="s">
        <v>956</v>
      </c>
    </row>
    <row r="250" spans="1:76" ht="13.5">
      <c r="A250" s="460"/>
      <c r="C250" s="461" t="s">
        <v>1269</v>
      </c>
      <c r="D250" s="461" t="s">
        <v>648</v>
      </c>
      <c r="F250" s="462">
        <v>137.9</v>
      </c>
      <c r="K250" s="463"/>
    </row>
    <row r="251" spans="1:76" ht="13.5">
      <c r="A251" s="454" t="s">
        <v>971</v>
      </c>
      <c r="B251" s="455" t="s">
        <v>959</v>
      </c>
      <c r="C251" s="428" t="s">
        <v>960</v>
      </c>
      <c r="D251" s="424"/>
      <c r="E251" s="455" t="s">
        <v>7</v>
      </c>
      <c r="F251" s="456">
        <v>144.79499999999999</v>
      </c>
      <c r="G251" s="456">
        <v>0</v>
      </c>
      <c r="H251" s="456">
        <f>F251*AO251</f>
        <v>0</v>
      </c>
      <c r="I251" s="456">
        <f>F251*AP251</f>
        <v>0</v>
      </c>
      <c r="J251" s="456">
        <f>F251*G251</f>
        <v>0</v>
      </c>
      <c r="K251" s="457" t="s">
        <v>1410</v>
      </c>
      <c r="Z251" s="456">
        <f>IF(AQ251="5",BJ251,0)</f>
        <v>0</v>
      </c>
      <c r="AB251" s="456">
        <f>IF(AQ251="1",BH251,0)</f>
        <v>0</v>
      </c>
      <c r="AC251" s="456">
        <f>IF(AQ251="1",BI251,0)</f>
        <v>0</v>
      </c>
      <c r="AD251" s="456">
        <f>IF(AQ251="7",BH251,0)</f>
        <v>0</v>
      </c>
      <c r="AE251" s="456">
        <f>IF(AQ251="7",BI251,0)</f>
        <v>0</v>
      </c>
      <c r="AF251" s="456">
        <f>IF(AQ251="2",BH251,0)</f>
        <v>0</v>
      </c>
      <c r="AG251" s="456">
        <f>IF(AQ251="2",BI251,0)</f>
        <v>0</v>
      </c>
      <c r="AH251" s="456">
        <f>IF(AQ251="0",BJ251,0)</f>
        <v>0</v>
      </c>
      <c r="AI251" s="438" t="s">
        <v>648</v>
      </c>
      <c r="AJ251" s="456">
        <f>IF(AN251=0,J251,0)</f>
        <v>0</v>
      </c>
      <c r="AK251" s="456">
        <f>IF(AN251=12,J251,0)</f>
        <v>0</v>
      </c>
      <c r="AL251" s="456">
        <f>IF(AN251=21,J251,0)</f>
        <v>0</v>
      </c>
      <c r="AN251" s="456">
        <v>21</v>
      </c>
      <c r="AO251" s="456">
        <f>G251*1</f>
        <v>0</v>
      </c>
      <c r="AP251" s="456">
        <f>G251*(1-1)</f>
        <v>0</v>
      </c>
      <c r="AQ251" s="458" t="s">
        <v>651</v>
      </c>
      <c r="AV251" s="456">
        <f>AW251+AX251</f>
        <v>0</v>
      </c>
      <c r="AW251" s="456">
        <f>F251*AO251</f>
        <v>0</v>
      </c>
      <c r="AX251" s="456">
        <f>F251*AP251</f>
        <v>0</v>
      </c>
      <c r="AY251" s="458" t="s">
        <v>935</v>
      </c>
      <c r="AZ251" s="458" t="s">
        <v>883</v>
      </c>
      <c r="BA251" s="438" t="s">
        <v>656</v>
      </c>
      <c r="BC251" s="456">
        <f>AW251+AX251</f>
        <v>0</v>
      </c>
      <c r="BD251" s="456">
        <f>G251/(100-BE251)*100</f>
        <v>0</v>
      </c>
      <c r="BE251" s="456">
        <v>0</v>
      </c>
      <c r="BF251" s="456">
        <f>251</f>
        <v>251</v>
      </c>
      <c r="BH251" s="456">
        <f>F251*AO251</f>
        <v>0</v>
      </c>
      <c r="BI251" s="456">
        <f>F251*AP251</f>
        <v>0</v>
      </c>
      <c r="BJ251" s="456">
        <f>F251*G251</f>
        <v>0</v>
      </c>
      <c r="BK251" s="456"/>
      <c r="BL251" s="456">
        <v>87</v>
      </c>
      <c r="BW251" s="456">
        <v>21</v>
      </c>
      <c r="BX251" s="459" t="s">
        <v>960</v>
      </c>
    </row>
    <row r="252" spans="1:76" ht="13.5">
      <c r="A252" s="460"/>
      <c r="C252" s="461" t="s">
        <v>1268</v>
      </c>
      <c r="D252" s="461" t="s">
        <v>648</v>
      </c>
      <c r="F252" s="462">
        <v>144.79499999999999</v>
      </c>
      <c r="K252" s="463"/>
    </row>
    <row r="253" spans="1:76" ht="13.5">
      <c r="A253" s="454" t="s">
        <v>980</v>
      </c>
      <c r="B253" s="455" t="s">
        <v>962</v>
      </c>
      <c r="C253" s="428" t="s">
        <v>963</v>
      </c>
      <c r="D253" s="424"/>
      <c r="E253" s="455" t="s">
        <v>7</v>
      </c>
      <c r="F253" s="456">
        <v>144.79499999999999</v>
      </c>
      <c r="G253" s="456">
        <v>0</v>
      </c>
      <c r="H253" s="456">
        <f>F253*AO253</f>
        <v>0</v>
      </c>
      <c r="I253" s="456">
        <f>F253*AP253</f>
        <v>0</v>
      </c>
      <c r="J253" s="456">
        <f>F253*G253</f>
        <v>0</v>
      </c>
      <c r="K253" s="457" t="s">
        <v>648</v>
      </c>
      <c r="Z253" s="456">
        <f>IF(AQ253="5",BJ253,0)</f>
        <v>0</v>
      </c>
      <c r="AB253" s="456">
        <f>IF(AQ253="1",BH253,0)</f>
        <v>0</v>
      </c>
      <c r="AC253" s="456">
        <f>IF(AQ253="1",BI253,0)</f>
        <v>0</v>
      </c>
      <c r="AD253" s="456">
        <f>IF(AQ253="7",BH253,0)</f>
        <v>0</v>
      </c>
      <c r="AE253" s="456">
        <f>IF(AQ253="7",BI253,0)</f>
        <v>0</v>
      </c>
      <c r="AF253" s="456">
        <f>IF(AQ253="2",BH253,0)</f>
        <v>0</v>
      </c>
      <c r="AG253" s="456">
        <f>IF(AQ253="2",BI253,0)</f>
        <v>0</v>
      </c>
      <c r="AH253" s="456">
        <f>IF(AQ253="0",BJ253,0)</f>
        <v>0</v>
      </c>
      <c r="AI253" s="438" t="s">
        <v>648</v>
      </c>
      <c r="AJ253" s="456">
        <f>IF(AN253=0,J253,0)</f>
        <v>0</v>
      </c>
      <c r="AK253" s="456">
        <f>IF(AN253=12,J253,0)</f>
        <v>0</v>
      </c>
      <c r="AL253" s="456">
        <f>IF(AN253=21,J253,0)</f>
        <v>0</v>
      </c>
      <c r="AN253" s="456">
        <v>21</v>
      </c>
      <c r="AO253" s="456">
        <f>G253*1</f>
        <v>0</v>
      </c>
      <c r="AP253" s="456">
        <f>G253*(1-1)</f>
        <v>0</v>
      </c>
      <c r="AQ253" s="458" t="s">
        <v>651</v>
      </c>
      <c r="AV253" s="456">
        <f>AW253+AX253</f>
        <v>0</v>
      </c>
      <c r="AW253" s="456">
        <f>F253*AO253</f>
        <v>0</v>
      </c>
      <c r="AX253" s="456">
        <f>F253*AP253</f>
        <v>0</v>
      </c>
      <c r="AY253" s="458" t="s">
        <v>935</v>
      </c>
      <c r="AZ253" s="458" t="s">
        <v>883</v>
      </c>
      <c r="BA253" s="438" t="s">
        <v>656</v>
      </c>
      <c r="BC253" s="456">
        <f>AW253+AX253</f>
        <v>0</v>
      </c>
      <c r="BD253" s="456">
        <f>G253/(100-BE253)*100</f>
        <v>0</v>
      </c>
      <c r="BE253" s="456">
        <v>0</v>
      </c>
      <c r="BF253" s="456">
        <f>253</f>
        <v>253</v>
      </c>
      <c r="BH253" s="456">
        <f>F253*AO253</f>
        <v>0</v>
      </c>
      <c r="BI253" s="456">
        <f>F253*AP253</f>
        <v>0</v>
      </c>
      <c r="BJ253" s="456">
        <f>F253*G253</f>
        <v>0</v>
      </c>
      <c r="BK253" s="456"/>
      <c r="BL253" s="456">
        <v>87</v>
      </c>
      <c r="BW253" s="456">
        <v>21</v>
      </c>
      <c r="BX253" s="459" t="s">
        <v>963</v>
      </c>
    </row>
    <row r="254" spans="1:76" ht="13.5">
      <c r="A254" s="460"/>
      <c r="C254" s="461" t="s">
        <v>1270</v>
      </c>
      <c r="D254" s="461" t="s">
        <v>648</v>
      </c>
      <c r="F254" s="462">
        <v>144.79499999999999</v>
      </c>
      <c r="K254" s="463"/>
    </row>
    <row r="255" spans="1:76" ht="13.5">
      <c r="A255" s="454" t="s">
        <v>1004</v>
      </c>
      <c r="B255" s="455" t="s">
        <v>965</v>
      </c>
      <c r="C255" s="428" t="s">
        <v>966</v>
      </c>
      <c r="D255" s="424"/>
      <c r="E255" s="455" t="s">
        <v>7</v>
      </c>
      <c r="F255" s="456">
        <v>289.58999999999997</v>
      </c>
      <c r="G255" s="456">
        <v>0</v>
      </c>
      <c r="H255" s="456">
        <f>F255*AO255</f>
        <v>0</v>
      </c>
      <c r="I255" s="456">
        <f>F255*AP255</f>
        <v>0</v>
      </c>
      <c r="J255" s="456">
        <f>F255*G255</f>
        <v>0</v>
      </c>
      <c r="K255" s="457" t="s">
        <v>1410</v>
      </c>
      <c r="Z255" s="456">
        <f>IF(AQ255="5",BJ255,0)</f>
        <v>0</v>
      </c>
      <c r="AB255" s="456">
        <f>IF(AQ255="1",BH255,0)</f>
        <v>0</v>
      </c>
      <c r="AC255" s="456">
        <f>IF(AQ255="1",BI255,0)</f>
        <v>0</v>
      </c>
      <c r="AD255" s="456">
        <f>IF(AQ255="7",BH255,0)</f>
        <v>0</v>
      </c>
      <c r="AE255" s="456">
        <f>IF(AQ255="7",BI255,0)</f>
        <v>0</v>
      </c>
      <c r="AF255" s="456">
        <f>IF(AQ255="2",BH255,0)</f>
        <v>0</v>
      </c>
      <c r="AG255" s="456">
        <f>IF(AQ255="2",BI255,0)</f>
        <v>0</v>
      </c>
      <c r="AH255" s="456">
        <f>IF(AQ255="0",BJ255,0)</f>
        <v>0</v>
      </c>
      <c r="AI255" s="438" t="s">
        <v>648</v>
      </c>
      <c r="AJ255" s="456">
        <f>IF(AN255=0,J255,0)</f>
        <v>0</v>
      </c>
      <c r="AK255" s="456">
        <f>IF(AN255=12,J255,0)</f>
        <v>0</v>
      </c>
      <c r="AL255" s="456">
        <f>IF(AN255=21,J255,0)</f>
        <v>0</v>
      </c>
      <c r="AN255" s="456">
        <v>21</v>
      </c>
      <c r="AO255" s="456">
        <f>G255*0.352747119</f>
        <v>0</v>
      </c>
      <c r="AP255" s="456">
        <f>G255*(1-0.352747119)</f>
        <v>0</v>
      </c>
      <c r="AQ255" s="458" t="s">
        <v>651</v>
      </c>
      <c r="AV255" s="456">
        <f>AW255+AX255</f>
        <v>0</v>
      </c>
      <c r="AW255" s="456">
        <f>F255*AO255</f>
        <v>0</v>
      </c>
      <c r="AX255" s="456">
        <f>F255*AP255</f>
        <v>0</v>
      </c>
      <c r="AY255" s="458" t="s">
        <v>935</v>
      </c>
      <c r="AZ255" s="458" t="s">
        <v>883</v>
      </c>
      <c r="BA255" s="438" t="s">
        <v>656</v>
      </c>
      <c r="BC255" s="456">
        <f>AW255+AX255</f>
        <v>0</v>
      </c>
      <c r="BD255" s="456">
        <f>G255/(100-BE255)*100</f>
        <v>0</v>
      </c>
      <c r="BE255" s="456">
        <v>0</v>
      </c>
      <c r="BF255" s="456">
        <f>255</f>
        <v>255</v>
      </c>
      <c r="BH255" s="456">
        <f>F255*AO255</f>
        <v>0</v>
      </c>
      <c r="BI255" s="456">
        <f>F255*AP255</f>
        <v>0</v>
      </c>
      <c r="BJ255" s="456">
        <f>F255*G255</f>
        <v>0</v>
      </c>
      <c r="BK255" s="456"/>
      <c r="BL255" s="456">
        <v>87</v>
      </c>
      <c r="BW255" s="456">
        <v>21</v>
      </c>
      <c r="BX255" s="459" t="s">
        <v>966</v>
      </c>
    </row>
    <row r="256" spans="1:76" ht="13.5">
      <c r="A256" s="460"/>
      <c r="C256" s="461" t="s">
        <v>1271</v>
      </c>
      <c r="D256" s="461" t="s">
        <v>648</v>
      </c>
      <c r="F256" s="462">
        <v>275.8</v>
      </c>
      <c r="K256" s="463"/>
    </row>
    <row r="257" spans="1:76" ht="13.5">
      <c r="A257" s="460"/>
      <c r="C257" s="461" t="s">
        <v>1272</v>
      </c>
      <c r="D257" s="461" t="s">
        <v>648</v>
      </c>
      <c r="F257" s="462">
        <v>13.79</v>
      </c>
      <c r="K257" s="463"/>
    </row>
    <row r="258" spans="1:76" ht="13.5">
      <c r="A258" s="454" t="s">
        <v>1009</v>
      </c>
      <c r="B258" s="455" t="s">
        <v>933</v>
      </c>
      <c r="C258" s="428" t="s">
        <v>934</v>
      </c>
      <c r="D258" s="424"/>
      <c r="E258" s="455" t="s">
        <v>7</v>
      </c>
      <c r="F258" s="456">
        <v>139.69999999999999</v>
      </c>
      <c r="G258" s="456">
        <v>0</v>
      </c>
      <c r="H258" s="456">
        <f>F258*AO258</f>
        <v>0</v>
      </c>
      <c r="I258" s="456">
        <f>F258*AP258</f>
        <v>0</v>
      </c>
      <c r="J258" s="456">
        <f>F258*G258</f>
        <v>0</v>
      </c>
      <c r="K258" s="457" t="s">
        <v>1410</v>
      </c>
      <c r="Z258" s="456">
        <f>IF(AQ258="5",BJ258,0)</f>
        <v>0</v>
      </c>
      <c r="AB258" s="456">
        <f>IF(AQ258="1",BH258,0)</f>
        <v>0</v>
      </c>
      <c r="AC258" s="456">
        <f>IF(AQ258="1",BI258,0)</f>
        <v>0</v>
      </c>
      <c r="AD258" s="456">
        <f>IF(AQ258="7",BH258,0)</f>
        <v>0</v>
      </c>
      <c r="AE258" s="456">
        <f>IF(AQ258="7",BI258,0)</f>
        <v>0</v>
      </c>
      <c r="AF258" s="456">
        <f>IF(AQ258="2",BH258,0)</f>
        <v>0</v>
      </c>
      <c r="AG258" s="456">
        <f>IF(AQ258="2",BI258,0)</f>
        <v>0</v>
      </c>
      <c r="AH258" s="456">
        <f>IF(AQ258="0",BJ258,0)</f>
        <v>0</v>
      </c>
      <c r="AI258" s="438" t="s">
        <v>648</v>
      </c>
      <c r="AJ258" s="456">
        <f>IF(AN258=0,J258,0)</f>
        <v>0</v>
      </c>
      <c r="AK258" s="456">
        <f>IF(AN258=12,J258,0)</f>
        <v>0</v>
      </c>
      <c r="AL258" s="456">
        <f>IF(AN258=21,J258,0)</f>
        <v>0</v>
      </c>
      <c r="AN258" s="456">
        <v>21</v>
      </c>
      <c r="AO258" s="456">
        <f>G258*0</f>
        <v>0</v>
      </c>
      <c r="AP258" s="456">
        <f>G258*(1-0)</f>
        <v>0</v>
      </c>
      <c r="AQ258" s="458" t="s">
        <v>651</v>
      </c>
      <c r="AV258" s="456">
        <f>AW258+AX258</f>
        <v>0</v>
      </c>
      <c r="AW258" s="456">
        <f>F258*AO258</f>
        <v>0</v>
      </c>
      <c r="AX258" s="456">
        <f>F258*AP258</f>
        <v>0</v>
      </c>
      <c r="AY258" s="458" t="s">
        <v>935</v>
      </c>
      <c r="AZ258" s="458" t="s">
        <v>883</v>
      </c>
      <c r="BA258" s="438" t="s">
        <v>656</v>
      </c>
      <c r="BC258" s="456">
        <f>AW258+AX258</f>
        <v>0</v>
      </c>
      <c r="BD258" s="456">
        <f>G258/(100-BE258)*100</f>
        <v>0</v>
      </c>
      <c r="BE258" s="456">
        <v>0</v>
      </c>
      <c r="BF258" s="456">
        <f>258</f>
        <v>258</v>
      </c>
      <c r="BH258" s="456">
        <f>F258*AO258</f>
        <v>0</v>
      </c>
      <c r="BI258" s="456">
        <f>F258*AP258</f>
        <v>0</v>
      </c>
      <c r="BJ258" s="456">
        <f>F258*G258</f>
        <v>0</v>
      </c>
      <c r="BK258" s="456"/>
      <c r="BL258" s="456">
        <v>87</v>
      </c>
      <c r="BW258" s="456">
        <v>21</v>
      </c>
      <c r="BX258" s="459" t="s">
        <v>934</v>
      </c>
    </row>
    <row r="259" spans="1:76" ht="13.5">
      <c r="A259" s="460"/>
      <c r="C259" s="461" t="s">
        <v>1273</v>
      </c>
      <c r="D259" s="461" t="s">
        <v>648</v>
      </c>
      <c r="F259" s="462">
        <v>139.69999999999999</v>
      </c>
      <c r="K259" s="463"/>
    </row>
    <row r="260" spans="1:76" ht="13.5">
      <c r="A260" s="454" t="s">
        <v>1014</v>
      </c>
      <c r="B260" s="455" t="s">
        <v>1274</v>
      </c>
      <c r="C260" s="428" t="s">
        <v>1275</v>
      </c>
      <c r="D260" s="424"/>
      <c r="E260" s="455" t="s">
        <v>654</v>
      </c>
      <c r="F260" s="456">
        <v>1</v>
      </c>
      <c r="G260" s="456">
        <v>0</v>
      </c>
      <c r="H260" s="456">
        <f>F260*AO260</f>
        <v>0</v>
      </c>
      <c r="I260" s="456">
        <f>F260*AP260</f>
        <v>0</v>
      </c>
      <c r="J260" s="456">
        <f>F260*G260</f>
        <v>0</v>
      </c>
      <c r="K260" s="457" t="s">
        <v>648</v>
      </c>
      <c r="Z260" s="456">
        <f>IF(AQ260="5",BJ260,0)</f>
        <v>0</v>
      </c>
      <c r="AB260" s="456">
        <f>IF(AQ260="1",BH260,0)</f>
        <v>0</v>
      </c>
      <c r="AC260" s="456">
        <f>IF(AQ260="1",BI260,0)</f>
        <v>0</v>
      </c>
      <c r="AD260" s="456">
        <f>IF(AQ260="7",BH260,0)</f>
        <v>0</v>
      </c>
      <c r="AE260" s="456">
        <f>IF(AQ260="7",BI260,0)</f>
        <v>0</v>
      </c>
      <c r="AF260" s="456">
        <f>IF(AQ260="2",BH260,0)</f>
        <v>0</v>
      </c>
      <c r="AG260" s="456">
        <f>IF(AQ260="2",BI260,0)</f>
        <v>0</v>
      </c>
      <c r="AH260" s="456">
        <f>IF(AQ260="0",BJ260,0)</f>
        <v>0</v>
      </c>
      <c r="AI260" s="438" t="s">
        <v>648</v>
      </c>
      <c r="AJ260" s="456">
        <f>IF(AN260=0,J260,0)</f>
        <v>0</v>
      </c>
      <c r="AK260" s="456">
        <f>IF(AN260=12,J260,0)</f>
        <v>0</v>
      </c>
      <c r="AL260" s="456">
        <f>IF(AN260=21,J260,0)</f>
        <v>0</v>
      </c>
      <c r="AN260" s="456">
        <v>21</v>
      </c>
      <c r="AO260" s="456">
        <f>G260*0.2</f>
        <v>0</v>
      </c>
      <c r="AP260" s="456">
        <f>G260*(1-0.2)</f>
        <v>0</v>
      </c>
      <c r="AQ260" s="458" t="s">
        <v>651</v>
      </c>
      <c r="AV260" s="456">
        <f>AW260+AX260</f>
        <v>0</v>
      </c>
      <c r="AW260" s="456">
        <f>F260*AO260</f>
        <v>0</v>
      </c>
      <c r="AX260" s="456">
        <f>F260*AP260</f>
        <v>0</v>
      </c>
      <c r="AY260" s="458" t="s">
        <v>935</v>
      </c>
      <c r="AZ260" s="458" t="s">
        <v>883</v>
      </c>
      <c r="BA260" s="438" t="s">
        <v>656</v>
      </c>
      <c r="BC260" s="456">
        <f>AW260+AX260</f>
        <v>0</v>
      </c>
      <c r="BD260" s="456">
        <f>G260/(100-BE260)*100</f>
        <v>0</v>
      </c>
      <c r="BE260" s="456">
        <v>0</v>
      </c>
      <c r="BF260" s="456">
        <f>260</f>
        <v>260</v>
      </c>
      <c r="BH260" s="456">
        <f>F260*AO260</f>
        <v>0</v>
      </c>
      <c r="BI260" s="456">
        <f>F260*AP260</f>
        <v>0</v>
      </c>
      <c r="BJ260" s="456">
        <f>F260*G260</f>
        <v>0</v>
      </c>
      <c r="BK260" s="456"/>
      <c r="BL260" s="456">
        <v>87</v>
      </c>
      <c r="BW260" s="456">
        <v>21</v>
      </c>
      <c r="BX260" s="459" t="s">
        <v>1275</v>
      </c>
    </row>
    <row r="261" spans="1:76" ht="13.5">
      <c r="A261" s="460"/>
      <c r="C261" s="461" t="s">
        <v>1276</v>
      </c>
      <c r="D261" s="461" t="s">
        <v>648</v>
      </c>
      <c r="F261" s="462">
        <v>1</v>
      </c>
      <c r="K261" s="463"/>
    </row>
    <row r="262" spans="1:76" ht="13.5">
      <c r="A262" s="448" t="s">
        <v>648</v>
      </c>
      <c r="B262" s="449" t="s">
        <v>971</v>
      </c>
      <c r="C262" s="450" t="s">
        <v>972</v>
      </c>
      <c r="D262" s="451"/>
      <c r="E262" s="452" t="s">
        <v>607</v>
      </c>
      <c r="F262" s="452" t="s">
        <v>607</v>
      </c>
      <c r="G262" s="452" t="s">
        <v>607</v>
      </c>
      <c r="H262" s="416">
        <f>SUM(H263:H265)</f>
        <v>0</v>
      </c>
      <c r="I262" s="416">
        <f>SUM(I263:I265)</f>
        <v>0</v>
      </c>
      <c r="J262" s="416">
        <f>SUM(J263:J265)</f>
        <v>0</v>
      </c>
      <c r="K262" s="453" t="s">
        <v>648</v>
      </c>
      <c r="AI262" s="438" t="s">
        <v>648</v>
      </c>
      <c r="AS262" s="416">
        <f>SUM(AJ263:AJ265)</f>
        <v>0</v>
      </c>
      <c r="AT262" s="416">
        <f>SUM(AK263:AK265)</f>
        <v>0</v>
      </c>
      <c r="AU262" s="416">
        <f>SUM(AL263:AL265)</f>
        <v>0</v>
      </c>
    </row>
    <row r="263" spans="1:76" ht="13.5">
      <c r="A263" s="454" t="s">
        <v>1017</v>
      </c>
      <c r="B263" s="455" t="s">
        <v>974</v>
      </c>
      <c r="C263" s="428" t="s">
        <v>975</v>
      </c>
      <c r="D263" s="424"/>
      <c r="E263" s="455" t="s">
        <v>7</v>
      </c>
      <c r="F263" s="456">
        <v>137.9</v>
      </c>
      <c r="G263" s="456">
        <v>0</v>
      </c>
      <c r="H263" s="456">
        <f>F263*AO263</f>
        <v>0</v>
      </c>
      <c r="I263" s="456">
        <f>F263*AP263</f>
        <v>0</v>
      </c>
      <c r="J263" s="456">
        <f>F263*G263</f>
        <v>0</v>
      </c>
      <c r="K263" s="457" t="s">
        <v>1410</v>
      </c>
      <c r="Z263" s="456">
        <f>IF(AQ263="5",BJ263,0)</f>
        <v>0</v>
      </c>
      <c r="AB263" s="456">
        <f>IF(AQ263="1",BH263,0)</f>
        <v>0</v>
      </c>
      <c r="AC263" s="456">
        <f>IF(AQ263="1",BI263,0)</f>
        <v>0</v>
      </c>
      <c r="AD263" s="456">
        <f>IF(AQ263="7",BH263,0)</f>
        <v>0</v>
      </c>
      <c r="AE263" s="456">
        <f>IF(AQ263="7",BI263,0)</f>
        <v>0</v>
      </c>
      <c r="AF263" s="456">
        <f>IF(AQ263="2",BH263,0)</f>
        <v>0</v>
      </c>
      <c r="AG263" s="456">
        <f>IF(AQ263="2",BI263,0)</f>
        <v>0</v>
      </c>
      <c r="AH263" s="456">
        <f>IF(AQ263="0",BJ263,0)</f>
        <v>0</v>
      </c>
      <c r="AI263" s="438" t="s">
        <v>648</v>
      </c>
      <c r="AJ263" s="456">
        <f>IF(AN263=0,J263,0)</f>
        <v>0</v>
      </c>
      <c r="AK263" s="456">
        <f>IF(AN263=12,J263,0)</f>
        <v>0</v>
      </c>
      <c r="AL263" s="456">
        <f>IF(AN263=21,J263,0)</f>
        <v>0</v>
      </c>
      <c r="AN263" s="456">
        <v>21</v>
      </c>
      <c r="AO263" s="456">
        <f>G263*0</f>
        <v>0</v>
      </c>
      <c r="AP263" s="456">
        <f>G263*(1-0)</f>
        <v>0</v>
      </c>
      <c r="AQ263" s="458" t="s">
        <v>651</v>
      </c>
      <c r="AV263" s="456">
        <f>AW263+AX263</f>
        <v>0</v>
      </c>
      <c r="AW263" s="456">
        <f>F263*AO263</f>
        <v>0</v>
      </c>
      <c r="AX263" s="456">
        <f>F263*AP263</f>
        <v>0</v>
      </c>
      <c r="AY263" s="458" t="s">
        <v>976</v>
      </c>
      <c r="AZ263" s="458" t="s">
        <v>883</v>
      </c>
      <c r="BA263" s="438" t="s">
        <v>656</v>
      </c>
      <c r="BC263" s="456">
        <f>AW263+AX263</f>
        <v>0</v>
      </c>
      <c r="BD263" s="456">
        <f>G263/(100-BE263)*100</f>
        <v>0</v>
      </c>
      <c r="BE263" s="456">
        <v>0</v>
      </c>
      <c r="BF263" s="456">
        <f>263</f>
        <v>263</v>
      </c>
      <c r="BH263" s="456">
        <f>F263*AO263</f>
        <v>0</v>
      </c>
      <c r="BI263" s="456">
        <f>F263*AP263</f>
        <v>0</v>
      </c>
      <c r="BJ263" s="456">
        <f>F263*G263</f>
        <v>0</v>
      </c>
      <c r="BK263" s="456"/>
      <c r="BL263" s="456">
        <v>88</v>
      </c>
      <c r="BW263" s="456">
        <v>21</v>
      </c>
      <c r="BX263" s="459" t="s">
        <v>975</v>
      </c>
    </row>
    <row r="264" spans="1:76" ht="13.5">
      <c r="A264" s="460"/>
      <c r="C264" s="461" t="s">
        <v>1085</v>
      </c>
      <c r="D264" s="461" t="s">
        <v>648</v>
      </c>
      <c r="F264" s="462">
        <v>137.9</v>
      </c>
      <c r="K264" s="463"/>
    </row>
    <row r="265" spans="1:76" ht="13.5">
      <c r="A265" s="454" t="s">
        <v>1019</v>
      </c>
      <c r="B265" s="455" t="s">
        <v>978</v>
      </c>
      <c r="C265" s="428" t="s">
        <v>979</v>
      </c>
      <c r="D265" s="424"/>
      <c r="E265" s="455" t="s">
        <v>7</v>
      </c>
      <c r="F265" s="456">
        <v>144.79499999999999</v>
      </c>
      <c r="G265" s="456">
        <v>0</v>
      </c>
      <c r="H265" s="456">
        <f>F265*AO265</f>
        <v>0</v>
      </c>
      <c r="I265" s="456">
        <f>F265*AP265</f>
        <v>0</v>
      </c>
      <c r="J265" s="456">
        <f>F265*G265</f>
        <v>0</v>
      </c>
      <c r="K265" s="457" t="s">
        <v>1410</v>
      </c>
      <c r="Z265" s="456">
        <f>IF(AQ265="5",BJ265,0)</f>
        <v>0</v>
      </c>
      <c r="AB265" s="456">
        <f>IF(AQ265="1",BH265,0)</f>
        <v>0</v>
      </c>
      <c r="AC265" s="456">
        <f>IF(AQ265="1",BI265,0)</f>
        <v>0</v>
      </c>
      <c r="AD265" s="456">
        <f>IF(AQ265="7",BH265,0)</f>
        <v>0</v>
      </c>
      <c r="AE265" s="456">
        <f>IF(AQ265="7",BI265,0)</f>
        <v>0</v>
      </c>
      <c r="AF265" s="456">
        <f>IF(AQ265="2",BH265,0)</f>
        <v>0</v>
      </c>
      <c r="AG265" s="456">
        <f>IF(AQ265="2",BI265,0)</f>
        <v>0</v>
      </c>
      <c r="AH265" s="456">
        <f>IF(AQ265="0",BJ265,0)</f>
        <v>0</v>
      </c>
      <c r="AI265" s="438" t="s">
        <v>648</v>
      </c>
      <c r="AJ265" s="456">
        <f>IF(AN265=0,J265,0)</f>
        <v>0</v>
      </c>
      <c r="AK265" s="456">
        <f>IF(AN265=12,J265,0)</f>
        <v>0</v>
      </c>
      <c r="AL265" s="456">
        <f>IF(AN265=21,J265,0)</f>
        <v>0</v>
      </c>
      <c r="AN265" s="456">
        <v>21</v>
      </c>
      <c r="AO265" s="456">
        <f>G265*1</f>
        <v>0</v>
      </c>
      <c r="AP265" s="456">
        <f>G265*(1-1)</f>
        <v>0</v>
      </c>
      <c r="AQ265" s="458" t="s">
        <v>651</v>
      </c>
      <c r="AV265" s="456">
        <f>AW265+AX265</f>
        <v>0</v>
      </c>
      <c r="AW265" s="456">
        <f>F265*AO265</f>
        <v>0</v>
      </c>
      <c r="AX265" s="456">
        <f>F265*AP265</f>
        <v>0</v>
      </c>
      <c r="AY265" s="458" t="s">
        <v>976</v>
      </c>
      <c r="AZ265" s="458" t="s">
        <v>883</v>
      </c>
      <c r="BA265" s="438" t="s">
        <v>656</v>
      </c>
      <c r="BC265" s="456">
        <f>AW265+AX265</f>
        <v>0</v>
      </c>
      <c r="BD265" s="456">
        <f>G265/(100-BE265)*100</f>
        <v>0</v>
      </c>
      <c r="BE265" s="456">
        <v>0</v>
      </c>
      <c r="BF265" s="456">
        <f>265</f>
        <v>265</v>
      </c>
      <c r="BH265" s="456">
        <f>F265*AO265</f>
        <v>0</v>
      </c>
      <c r="BI265" s="456">
        <f>F265*AP265</f>
        <v>0</v>
      </c>
      <c r="BJ265" s="456">
        <f>F265*G265</f>
        <v>0</v>
      </c>
      <c r="BK265" s="456"/>
      <c r="BL265" s="456">
        <v>88</v>
      </c>
      <c r="BW265" s="456">
        <v>21</v>
      </c>
      <c r="BX265" s="459" t="s">
        <v>979</v>
      </c>
    </row>
    <row r="266" spans="1:76" ht="13.5">
      <c r="A266" s="460"/>
      <c r="C266" s="461" t="s">
        <v>1268</v>
      </c>
      <c r="D266" s="461" t="s">
        <v>648</v>
      </c>
      <c r="F266" s="462">
        <v>144.79499999999999</v>
      </c>
      <c r="K266" s="463"/>
    </row>
    <row r="267" spans="1:76" ht="13.5">
      <c r="A267" s="448" t="s">
        <v>648</v>
      </c>
      <c r="B267" s="449" t="s">
        <v>980</v>
      </c>
      <c r="C267" s="450" t="s">
        <v>981</v>
      </c>
      <c r="D267" s="451"/>
      <c r="E267" s="452" t="s">
        <v>607</v>
      </c>
      <c r="F267" s="452" t="s">
        <v>607</v>
      </c>
      <c r="G267" s="452" t="s">
        <v>607</v>
      </c>
      <c r="H267" s="416">
        <f>SUM(H268:H272)</f>
        <v>0</v>
      </c>
      <c r="I267" s="416">
        <f>SUM(I268:I272)</f>
        <v>0</v>
      </c>
      <c r="J267" s="416">
        <f>SUM(J268:J272)</f>
        <v>0</v>
      </c>
      <c r="K267" s="453" t="s">
        <v>648</v>
      </c>
      <c r="AI267" s="438" t="s">
        <v>648</v>
      </c>
      <c r="AS267" s="416">
        <f>SUM(AJ268:AJ272)</f>
        <v>0</v>
      </c>
      <c r="AT267" s="416">
        <f>SUM(AK268:AK272)</f>
        <v>0</v>
      </c>
      <c r="AU267" s="416">
        <f>SUM(AL268:AL272)</f>
        <v>0</v>
      </c>
    </row>
    <row r="268" spans="1:76" ht="13.5">
      <c r="A268" s="454" t="s">
        <v>1022</v>
      </c>
      <c r="B268" s="455" t="s">
        <v>1277</v>
      </c>
      <c r="C268" s="428" t="s">
        <v>1278</v>
      </c>
      <c r="D268" s="424"/>
      <c r="E268" s="455" t="s">
        <v>14</v>
      </c>
      <c r="F268" s="456">
        <v>1</v>
      </c>
      <c r="G268" s="456">
        <v>0</v>
      </c>
      <c r="H268" s="456">
        <f>F268*AO268</f>
        <v>0</v>
      </c>
      <c r="I268" s="456">
        <f>F268*AP268</f>
        <v>0</v>
      </c>
      <c r="J268" s="456">
        <f>F268*G268</f>
        <v>0</v>
      </c>
      <c r="K268" s="457" t="s">
        <v>1410</v>
      </c>
      <c r="Z268" s="456">
        <f>IF(AQ268="5",BJ268,0)</f>
        <v>0</v>
      </c>
      <c r="AB268" s="456">
        <f>IF(AQ268="1",BH268,0)</f>
        <v>0</v>
      </c>
      <c r="AC268" s="456">
        <f>IF(AQ268="1",BI268,0)</f>
        <v>0</v>
      </c>
      <c r="AD268" s="456">
        <f>IF(AQ268="7",BH268,0)</f>
        <v>0</v>
      </c>
      <c r="AE268" s="456">
        <f>IF(AQ268="7",BI268,0)</f>
        <v>0</v>
      </c>
      <c r="AF268" s="456">
        <f>IF(AQ268="2",BH268,0)</f>
        <v>0</v>
      </c>
      <c r="AG268" s="456">
        <f>IF(AQ268="2",BI268,0)</f>
        <v>0</v>
      </c>
      <c r="AH268" s="456">
        <f>IF(AQ268="0",BJ268,0)</f>
        <v>0</v>
      </c>
      <c r="AI268" s="438" t="s">
        <v>648</v>
      </c>
      <c r="AJ268" s="456">
        <f>IF(AN268=0,J268,0)</f>
        <v>0</v>
      </c>
      <c r="AK268" s="456">
        <f>IF(AN268=12,J268,0)</f>
        <v>0</v>
      </c>
      <c r="AL268" s="456">
        <f>IF(AN268=21,J268,0)</f>
        <v>0</v>
      </c>
      <c r="AN268" s="456">
        <v>21</v>
      </c>
      <c r="AO268" s="456">
        <f>G268*0.689311562</f>
        <v>0</v>
      </c>
      <c r="AP268" s="456">
        <f>G268*(1-0.689311562)</f>
        <v>0</v>
      </c>
      <c r="AQ268" s="458" t="s">
        <v>651</v>
      </c>
      <c r="AV268" s="456">
        <f>AW268+AX268</f>
        <v>0</v>
      </c>
      <c r="AW268" s="456">
        <f>F268*AO268</f>
        <v>0</v>
      </c>
      <c r="AX268" s="456">
        <f>F268*AP268</f>
        <v>0</v>
      </c>
      <c r="AY268" s="458" t="s">
        <v>985</v>
      </c>
      <c r="AZ268" s="458" t="s">
        <v>883</v>
      </c>
      <c r="BA268" s="438" t="s">
        <v>656</v>
      </c>
      <c r="BC268" s="456">
        <f>AW268+AX268</f>
        <v>0</v>
      </c>
      <c r="BD268" s="456">
        <f>G268/(100-BE268)*100</f>
        <v>0</v>
      </c>
      <c r="BE268" s="456">
        <v>0</v>
      </c>
      <c r="BF268" s="456">
        <f>268</f>
        <v>268</v>
      </c>
      <c r="BH268" s="456">
        <f>F268*AO268</f>
        <v>0</v>
      </c>
      <c r="BI268" s="456">
        <f>F268*AP268</f>
        <v>0</v>
      </c>
      <c r="BJ268" s="456">
        <f>F268*G268</f>
        <v>0</v>
      </c>
      <c r="BK268" s="456"/>
      <c r="BL268" s="456">
        <v>89</v>
      </c>
      <c r="BW268" s="456">
        <v>21</v>
      </c>
      <c r="BX268" s="459" t="s">
        <v>1278</v>
      </c>
    </row>
    <row r="269" spans="1:76" ht="13.5">
      <c r="A269" s="460"/>
      <c r="C269" s="461" t="s">
        <v>1279</v>
      </c>
      <c r="D269" s="461" t="s">
        <v>648</v>
      </c>
      <c r="F269" s="462">
        <v>1</v>
      </c>
      <c r="K269" s="463"/>
    </row>
    <row r="270" spans="1:76" ht="13.5">
      <c r="A270" s="454" t="s">
        <v>1025</v>
      </c>
      <c r="B270" s="455" t="s">
        <v>1280</v>
      </c>
      <c r="C270" s="428" t="s">
        <v>1281</v>
      </c>
      <c r="D270" s="424"/>
      <c r="E270" s="455" t="s">
        <v>14</v>
      </c>
      <c r="F270" s="456">
        <v>1</v>
      </c>
      <c r="G270" s="456">
        <v>0</v>
      </c>
      <c r="H270" s="456">
        <f>F270*AO270</f>
        <v>0</v>
      </c>
      <c r="I270" s="456">
        <f>F270*AP270</f>
        <v>0</v>
      </c>
      <c r="J270" s="456">
        <f>F270*G270</f>
        <v>0</v>
      </c>
      <c r="K270" s="457" t="s">
        <v>1410</v>
      </c>
      <c r="Z270" s="456">
        <f>IF(AQ270="5",BJ270,0)</f>
        <v>0</v>
      </c>
      <c r="AB270" s="456">
        <f>IF(AQ270="1",BH270,0)</f>
        <v>0</v>
      </c>
      <c r="AC270" s="456">
        <f>IF(AQ270="1",BI270,0)</f>
        <v>0</v>
      </c>
      <c r="AD270" s="456">
        <f>IF(AQ270="7",BH270,0)</f>
        <v>0</v>
      </c>
      <c r="AE270" s="456">
        <f>IF(AQ270="7",BI270,0)</f>
        <v>0</v>
      </c>
      <c r="AF270" s="456">
        <f>IF(AQ270="2",BH270,0)</f>
        <v>0</v>
      </c>
      <c r="AG270" s="456">
        <f>IF(AQ270="2",BI270,0)</f>
        <v>0</v>
      </c>
      <c r="AH270" s="456">
        <f>IF(AQ270="0",BJ270,0)</f>
        <v>0</v>
      </c>
      <c r="AI270" s="438" t="s">
        <v>648</v>
      </c>
      <c r="AJ270" s="456">
        <f>IF(AN270=0,J270,0)</f>
        <v>0</v>
      </c>
      <c r="AK270" s="456">
        <f>IF(AN270=12,J270,0)</f>
        <v>0</v>
      </c>
      <c r="AL270" s="456">
        <f>IF(AN270=21,J270,0)</f>
        <v>0</v>
      </c>
      <c r="AN270" s="456">
        <v>21</v>
      </c>
      <c r="AO270" s="456">
        <f>G270*0.890897391</f>
        <v>0</v>
      </c>
      <c r="AP270" s="456">
        <f>G270*(1-0.890897391)</f>
        <v>0</v>
      </c>
      <c r="AQ270" s="458" t="s">
        <v>651</v>
      </c>
      <c r="AV270" s="456">
        <f>AW270+AX270</f>
        <v>0</v>
      </c>
      <c r="AW270" s="456">
        <f>F270*AO270</f>
        <v>0</v>
      </c>
      <c r="AX270" s="456">
        <f>F270*AP270</f>
        <v>0</v>
      </c>
      <c r="AY270" s="458" t="s">
        <v>985</v>
      </c>
      <c r="AZ270" s="458" t="s">
        <v>883</v>
      </c>
      <c r="BA270" s="438" t="s">
        <v>656</v>
      </c>
      <c r="BC270" s="456">
        <f>AW270+AX270</f>
        <v>0</v>
      </c>
      <c r="BD270" s="456">
        <f>G270/(100-BE270)*100</f>
        <v>0</v>
      </c>
      <c r="BE270" s="456">
        <v>0</v>
      </c>
      <c r="BF270" s="456">
        <f>270</f>
        <v>270</v>
      </c>
      <c r="BH270" s="456">
        <f>F270*AO270</f>
        <v>0</v>
      </c>
      <c r="BI270" s="456">
        <f>F270*AP270</f>
        <v>0</v>
      </c>
      <c r="BJ270" s="456">
        <f>F270*G270</f>
        <v>0</v>
      </c>
      <c r="BK270" s="456"/>
      <c r="BL270" s="456">
        <v>89</v>
      </c>
      <c r="BW270" s="456">
        <v>21</v>
      </c>
      <c r="BX270" s="459" t="s">
        <v>1281</v>
      </c>
    </row>
    <row r="271" spans="1:76" ht="13.5">
      <c r="A271" s="460"/>
      <c r="C271" s="461" t="s">
        <v>1282</v>
      </c>
      <c r="D271" s="461" t="s">
        <v>648</v>
      </c>
      <c r="F271" s="462">
        <v>1</v>
      </c>
      <c r="K271" s="463"/>
    </row>
    <row r="272" spans="1:76" ht="13.5">
      <c r="A272" s="454" t="s">
        <v>1029</v>
      </c>
      <c r="B272" s="455" t="s">
        <v>983</v>
      </c>
      <c r="C272" s="428" t="s">
        <v>984</v>
      </c>
      <c r="D272" s="424"/>
      <c r="E272" s="455" t="s">
        <v>7</v>
      </c>
      <c r="F272" s="456">
        <v>137.9</v>
      </c>
      <c r="G272" s="456">
        <v>0</v>
      </c>
      <c r="H272" s="456">
        <f>F272*AO272</f>
        <v>0</v>
      </c>
      <c r="I272" s="456">
        <f>F272*AP272</f>
        <v>0</v>
      </c>
      <c r="J272" s="456">
        <f>F272*G272</f>
        <v>0</v>
      </c>
      <c r="K272" s="457" t="s">
        <v>1410</v>
      </c>
      <c r="Z272" s="456">
        <f>IF(AQ272="5",BJ272,0)</f>
        <v>0</v>
      </c>
      <c r="AB272" s="456">
        <f>IF(AQ272="1",BH272,0)</f>
        <v>0</v>
      </c>
      <c r="AC272" s="456">
        <f>IF(AQ272="1",BI272,0)</f>
        <v>0</v>
      </c>
      <c r="AD272" s="456">
        <f>IF(AQ272="7",BH272,0)</f>
        <v>0</v>
      </c>
      <c r="AE272" s="456">
        <f>IF(AQ272="7",BI272,0)</f>
        <v>0</v>
      </c>
      <c r="AF272" s="456">
        <f>IF(AQ272="2",BH272,0)</f>
        <v>0</v>
      </c>
      <c r="AG272" s="456">
        <f>IF(AQ272="2",BI272,0)</f>
        <v>0</v>
      </c>
      <c r="AH272" s="456">
        <f>IF(AQ272="0",BJ272,0)</f>
        <v>0</v>
      </c>
      <c r="AI272" s="438" t="s">
        <v>648</v>
      </c>
      <c r="AJ272" s="456">
        <f>IF(AN272=0,J272,0)</f>
        <v>0</v>
      </c>
      <c r="AK272" s="456">
        <f>IF(AN272=12,J272,0)</f>
        <v>0</v>
      </c>
      <c r="AL272" s="456">
        <f>IF(AN272=21,J272,0)</f>
        <v>0</v>
      </c>
      <c r="AN272" s="456">
        <v>21</v>
      </c>
      <c r="AO272" s="456">
        <f>G272*0.030268199</f>
        <v>0</v>
      </c>
      <c r="AP272" s="456">
        <f>G272*(1-0.030268199)</f>
        <v>0</v>
      </c>
      <c r="AQ272" s="458" t="s">
        <v>651</v>
      </c>
      <c r="AV272" s="456">
        <f>AW272+AX272</f>
        <v>0</v>
      </c>
      <c r="AW272" s="456">
        <f>F272*AO272</f>
        <v>0</v>
      </c>
      <c r="AX272" s="456">
        <f>F272*AP272</f>
        <v>0</v>
      </c>
      <c r="AY272" s="458" t="s">
        <v>985</v>
      </c>
      <c r="AZ272" s="458" t="s">
        <v>883</v>
      </c>
      <c r="BA272" s="438" t="s">
        <v>656</v>
      </c>
      <c r="BC272" s="456">
        <f>AW272+AX272</f>
        <v>0</v>
      </c>
      <c r="BD272" s="456">
        <f>G272/(100-BE272)*100</f>
        <v>0</v>
      </c>
      <c r="BE272" s="456">
        <v>0</v>
      </c>
      <c r="BF272" s="456">
        <f>272</f>
        <v>272</v>
      </c>
      <c r="BH272" s="456">
        <f>F272*AO272</f>
        <v>0</v>
      </c>
      <c r="BI272" s="456">
        <f>F272*AP272</f>
        <v>0</v>
      </c>
      <c r="BJ272" s="456">
        <f>F272*G272</f>
        <v>0</v>
      </c>
      <c r="BK272" s="456"/>
      <c r="BL272" s="456">
        <v>89</v>
      </c>
      <c r="BW272" s="456">
        <v>21</v>
      </c>
      <c r="BX272" s="459" t="s">
        <v>984</v>
      </c>
    </row>
    <row r="273" spans="1:76" ht="13.5">
      <c r="A273" s="460"/>
      <c r="C273" s="461" t="s">
        <v>1085</v>
      </c>
      <c r="D273" s="461" t="s">
        <v>648</v>
      </c>
      <c r="F273" s="462">
        <v>137.9</v>
      </c>
      <c r="K273" s="463"/>
    </row>
    <row r="274" spans="1:76" ht="13.5">
      <c r="A274" s="448" t="s">
        <v>648</v>
      </c>
      <c r="B274" s="449" t="s">
        <v>1283</v>
      </c>
      <c r="C274" s="450" t="s">
        <v>1284</v>
      </c>
      <c r="D274" s="451"/>
      <c r="E274" s="452" t="s">
        <v>607</v>
      </c>
      <c r="F274" s="452" t="s">
        <v>607</v>
      </c>
      <c r="G274" s="452" t="s">
        <v>607</v>
      </c>
      <c r="H274" s="416">
        <f>SUM(H275:H275)</f>
        <v>0</v>
      </c>
      <c r="I274" s="416">
        <f>SUM(I275:I275)</f>
        <v>0</v>
      </c>
      <c r="J274" s="416">
        <f>SUM(J275:J275)</f>
        <v>0</v>
      </c>
      <c r="K274" s="453" t="s">
        <v>648</v>
      </c>
      <c r="AI274" s="438" t="s">
        <v>648</v>
      </c>
      <c r="AS274" s="416">
        <f>SUM(AJ275:AJ275)</f>
        <v>0</v>
      </c>
      <c r="AT274" s="416">
        <f>SUM(AK275:AK275)</f>
        <v>0</v>
      </c>
      <c r="AU274" s="416">
        <f>SUM(AL275:AL275)</f>
        <v>0</v>
      </c>
    </row>
    <row r="275" spans="1:76" ht="13.5">
      <c r="A275" s="454" t="s">
        <v>1034</v>
      </c>
      <c r="B275" s="455" t="s">
        <v>1285</v>
      </c>
      <c r="C275" s="428" t="s">
        <v>1286</v>
      </c>
      <c r="D275" s="424"/>
      <c r="E275" s="455" t="s">
        <v>654</v>
      </c>
      <c r="F275" s="456">
        <v>1</v>
      </c>
      <c r="G275" s="456">
        <v>0</v>
      </c>
      <c r="H275" s="456">
        <f>F275*AO275</f>
        <v>0</v>
      </c>
      <c r="I275" s="456">
        <f>F275*AP275</f>
        <v>0</v>
      </c>
      <c r="J275" s="456">
        <f>F275*G275</f>
        <v>0</v>
      </c>
      <c r="K275" s="457" t="s">
        <v>648</v>
      </c>
      <c r="Z275" s="456">
        <f>IF(AQ275="5",BJ275,0)</f>
        <v>0</v>
      </c>
      <c r="AB275" s="456">
        <f>IF(AQ275="1",BH275,0)</f>
        <v>0</v>
      </c>
      <c r="AC275" s="456">
        <f>IF(AQ275="1",BI275,0)</f>
        <v>0</v>
      </c>
      <c r="AD275" s="456">
        <f>IF(AQ275="7",BH275,0)</f>
        <v>0</v>
      </c>
      <c r="AE275" s="456">
        <f>IF(AQ275="7",BI275,0)</f>
        <v>0</v>
      </c>
      <c r="AF275" s="456">
        <f>IF(AQ275="2",BH275,0)</f>
        <v>0</v>
      </c>
      <c r="AG275" s="456">
        <f>IF(AQ275="2",BI275,0)</f>
        <v>0</v>
      </c>
      <c r="AH275" s="456">
        <f>IF(AQ275="0",BJ275,0)</f>
        <v>0</v>
      </c>
      <c r="AI275" s="438" t="s">
        <v>648</v>
      </c>
      <c r="AJ275" s="456">
        <f>IF(AN275=0,J275,0)</f>
        <v>0</v>
      </c>
      <c r="AK275" s="456">
        <f>IF(AN275=12,J275,0)</f>
        <v>0</v>
      </c>
      <c r="AL275" s="456">
        <f>IF(AN275=21,J275,0)</f>
        <v>0</v>
      </c>
      <c r="AN275" s="456">
        <v>21</v>
      </c>
      <c r="AO275" s="456">
        <f>G275*0</f>
        <v>0</v>
      </c>
      <c r="AP275" s="456">
        <f>G275*(1-0)</f>
        <v>0</v>
      </c>
      <c r="AQ275" s="458" t="s">
        <v>651</v>
      </c>
      <c r="AV275" s="456">
        <f>AW275+AX275</f>
        <v>0</v>
      </c>
      <c r="AW275" s="456">
        <f>F275*AO275</f>
        <v>0</v>
      </c>
      <c r="AX275" s="456">
        <f>F275*AP275</f>
        <v>0</v>
      </c>
      <c r="AY275" s="458" t="s">
        <v>1287</v>
      </c>
      <c r="AZ275" s="458" t="s">
        <v>883</v>
      </c>
      <c r="BA275" s="438" t="s">
        <v>656</v>
      </c>
      <c r="BC275" s="456">
        <f>AW275+AX275</f>
        <v>0</v>
      </c>
      <c r="BD275" s="456">
        <f>G275/(100-BE275)*100</f>
        <v>0</v>
      </c>
      <c r="BE275" s="456">
        <v>0</v>
      </c>
      <c r="BF275" s="456">
        <f>275</f>
        <v>275</v>
      </c>
      <c r="BH275" s="456">
        <f>F275*AO275</f>
        <v>0</v>
      </c>
      <c r="BI275" s="456">
        <f>F275*AP275</f>
        <v>0</v>
      </c>
      <c r="BJ275" s="456">
        <f>F275*G275</f>
        <v>0</v>
      </c>
      <c r="BK275" s="456"/>
      <c r="BL275" s="456">
        <v>891</v>
      </c>
      <c r="BW275" s="456">
        <v>21</v>
      </c>
      <c r="BX275" s="459" t="s">
        <v>1286</v>
      </c>
    </row>
    <row r="276" spans="1:76" ht="13.5">
      <c r="A276" s="460"/>
      <c r="C276" s="461" t="s">
        <v>651</v>
      </c>
      <c r="D276" s="461" t="s">
        <v>648</v>
      </c>
      <c r="F276" s="462">
        <v>1</v>
      </c>
      <c r="K276" s="463"/>
    </row>
    <row r="277" spans="1:76" ht="13.5">
      <c r="A277" s="448" t="s">
        <v>648</v>
      </c>
      <c r="B277" s="449" t="s">
        <v>1007</v>
      </c>
      <c r="C277" s="450" t="s">
        <v>1288</v>
      </c>
      <c r="D277" s="451"/>
      <c r="E277" s="452" t="s">
        <v>607</v>
      </c>
      <c r="F277" s="452" t="s">
        <v>607</v>
      </c>
      <c r="G277" s="452" t="s">
        <v>607</v>
      </c>
      <c r="H277" s="416">
        <f>SUM(H278:H278)</f>
        <v>0</v>
      </c>
      <c r="I277" s="416">
        <f>SUM(I278:I278)</f>
        <v>0</v>
      </c>
      <c r="J277" s="416">
        <f>SUM(J278:J278)</f>
        <v>0</v>
      </c>
      <c r="K277" s="453" t="s">
        <v>648</v>
      </c>
      <c r="AI277" s="438" t="s">
        <v>648</v>
      </c>
      <c r="AS277" s="416">
        <f>SUM(AJ278:AJ278)</f>
        <v>0</v>
      </c>
      <c r="AT277" s="416">
        <f>SUM(AK278:AK278)</f>
        <v>0</v>
      </c>
      <c r="AU277" s="416">
        <f>SUM(AL278:AL278)</f>
        <v>0</v>
      </c>
    </row>
    <row r="278" spans="1:76" ht="13.5">
      <c r="A278" s="454" t="s">
        <v>1040</v>
      </c>
      <c r="B278" s="455" t="s">
        <v>1289</v>
      </c>
      <c r="C278" s="428" t="s">
        <v>1290</v>
      </c>
      <c r="D278" s="424"/>
      <c r="E278" s="455" t="s">
        <v>14</v>
      </c>
      <c r="F278" s="456">
        <v>6</v>
      </c>
      <c r="G278" s="456">
        <v>0</v>
      </c>
      <c r="H278" s="456">
        <f>F278*AO278</f>
        <v>0</v>
      </c>
      <c r="I278" s="456">
        <f>F278*AP278</f>
        <v>0</v>
      </c>
      <c r="J278" s="456">
        <f>F278*G278</f>
        <v>0</v>
      </c>
      <c r="K278" s="457" t="s">
        <v>648</v>
      </c>
      <c r="Z278" s="456">
        <f>IF(AQ278="5",BJ278,0)</f>
        <v>0</v>
      </c>
      <c r="AB278" s="456">
        <f>IF(AQ278="1",BH278,0)</f>
        <v>0</v>
      </c>
      <c r="AC278" s="456">
        <f>IF(AQ278="1",BI278,0)</f>
        <v>0</v>
      </c>
      <c r="AD278" s="456">
        <f>IF(AQ278="7",BH278,0)</f>
        <v>0</v>
      </c>
      <c r="AE278" s="456">
        <f>IF(AQ278="7",BI278,0)</f>
        <v>0</v>
      </c>
      <c r="AF278" s="456">
        <f>IF(AQ278="2",BH278,0)</f>
        <v>0</v>
      </c>
      <c r="AG278" s="456">
        <f>IF(AQ278="2",BI278,0)</f>
        <v>0</v>
      </c>
      <c r="AH278" s="456">
        <f>IF(AQ278="0",BJ278,0)</f>
        <v>0</v>
      </c>
      <c r="AI278" s="438" t="s">
        <v>648</v>
      </c>
      <c r="AJ278" s="456">
        <f>IF(AN278=0,J278,0)</f>
        <v>0</v>
      </c>
      <c r="AK278" s="456">
        <f>IF(AN278=12,J278,0)</f>
        <v>0</v>
      </c>
      <c r="AL278" s="456">
        <f>IF(AN278=21,J278,0)</f>
        <v>0</v>
      </c>
      <c r="AN278" s="456">
        <v>21</v>
      </c>
      <c r="AO278" s="456">
        <f>G278*0.666666</f>
        <v>0</v>
      </c>
      <c r="AP278" s="456">
        <f>G278*(1-0.666666)</f>
        <v>0</v>
      </c>
      <c r="AQ278" s="458" t="s">
        <v>651</v>
      </c>
      <c r="AV278" s="456">
        <f>AW278+AX278</f>
        <v>0</v>
      </c>
      <c r="AW278" s="456">
        <f>F278*AO278</f>
        <v>0</v>
      </c>
      <c r="AX278" s="456">
        <f>F278*AP278</f>
        <v>0</v>
      </c>
      <c r="AY278" s="458" t="s">
        <v>1012</v>
      </c>
      <c r="AZ278" s="458" t="s">
        <v>883</v>
      </c>
      <c r="BA278" s="438" t="s">
        <v>656</v>
      </c>
      <c r="BC278" s="456">
        <f>AW278+AX278</f>
        <v>0</v>
      </c>
      <c r="BD278" s="456">
        <f>G278/(100-BE278)*100</f>
        <v>0</v>
      </c>
      <c r="BE278" s="456">
        <v>0</v>
      </c>
      <c r="BF278" s="456">
        <f>278</f>
        <v>278</v>
      </c>
      <c r="BH278" s="456">
        <f>F278*AO278</f>
        <v>0</v>
      </c>
      <c r="BI278" s="456">
        <f>F278*AP278</f>
        <v>0</v>
      </c>
      <c r="BJ278" s="456">
        <f>F278*G278</f>
        <v>0</v>
      </c>
      <c r="BK278" s="456"/>
      <c r="BL278" s="456">
        <v>894</v>
      </c>
      <c r="BW278" s="456">
        <v>21</v>
      </c>
      <c r="BX278" s="459" t="s">
        <v>1290</v>
      </c>
    </row>
    <row r="279" spans="1:76" ht="13.5">
      <c r="A279" s="460"/>
      <c r="C279" s="461" t="s">
        <v>1291</v>
      </c>
      <c r="D279" s="461" t="s">
        <v>648</v>
      </c>
      <c r="F279" s="462">
        <v>5</v>
      </c>
      <c r="K279" s="463"/>
    </row>
    <row r="280" spans="1:76" ht="13.5">
      <c r="A280" s="460"/>
      <c r="C280" s="461" t="s">
        <v>1292</v>
      </c>
      <c r="D280" s="461" t="s">
        <v>648</v>
      </c>
      <c r="F280" s="462">
        <v>1</v>
      </c>
      <c r="K280" s="463"/>
    </row>
    <row r="281" spans="1:76" ht="13.5">
      <c r="A281" s="448" t="s">
        <v>648</v>
      </c>
      <c r="B281" s="449" t="s">
        <v>1017</v>
      </c>
      <c r="C281" s="450" t="s">
        <v>1293</v>
      </c>
      <c r="D281" s="451"/>
      <c r="E281" s="452" t="s">
        <v>607</v>
      </c>
      <c r="F281" s="452" t="s">
        <v>607</v>
      </c>
      <c r="G281" s="452" t="s">
        <v>607</v>
      </c>
      <c r="H281" s="416">
        <f>SUM(H282:H282)</f>
        <v>0</v>
      </c>
      <c r="I281" s="416">
        <f>SUM(I282:I282)</f>
        <v>0</v>
      </c>
      <c r="J281" s="416">
        <f>SUM(J282:J282)</f>
        <v>0</v>
      </c>
      <c r="K281" s="453" t="s">
        <v>648</v>
      </c>
      <c r="AI281" s="438" t="s">
        <v>648</v>
      </c>
      <c r="AS281" s="416">
        <f>SUM(AJ282:AJ282)</f>
        <v>0</v>
      </c>
      <c r="AT281" s="416">
        <f>SUM(AK282:AK282)</f>
        <v>0</v>
      </c>
      <c r="AU281" s="416">
        <f>SUM(AL282:AL282)</f>
        <v>0</v>
      </c>
    </row>
    <row r="282" spans="1:76" ht="13.5">
      <c r="A282" s="454" t="s">
        <v>1047</v>
      </c>
      <c r="B282" s="455" t="s">
        <v>1294</v>
      </c>
      <c r="C282" s="428" t="s">
        <v>1295</v>
      </c>
      <c r="D282" s="424"/>
      <c r="E282" s="455" t="s">
        <v>40</v>
      </c>
      <c r="F282" s="456">
        <v>280.28800000000001</v>
      </c>
      <c r="G282" s="456">
        <v>0</v>
      </c>
      <c r="H282" s="456">
        <f>F282*AO282</f>
        <v>0</v>
      </c>
      <c r="I282" s="456">
        <f>F282*AP282</f>
        <v>0</v>
      </c>
      <c r="J282" s="456">
        <f>F282*G282</f>
        <v>0</v>
      </c>
      <c r="K282" s="457" t="s">
        <v>1410</v>
      </c>
      <c r="Z282" s="456">
        <f>IF(AQ282="5",BJ282,0)</f>
        <v>0</v>
      </c>
      <c r="AB282" s="456">
        <f>IF(AQ282="1",BH282,0)</f>
        <v>0</v>
      </c>
      <c r="AC282" s="456">
        <f>IF(AQ282="1",BI282,0)</f>
        <v>0</v>
      </c>
      <c r="AD282" s="456">
        <f>IF(AQ282="7",BH282,0)</f>
        <v>0</v>
      </c>
      <c r="AE282" s="456">
        <f>IF(AQ282="7",BI282,0)</f>
        <v>0</v>
      </c>
      <c r="AF282" s="456">
        <f>IF(AQ282="2",BH282,0)</f>
        <v>0</v>
      </c>
      <c r="AG282" s="456">
        <f>IF(AQ282="2",BI282,0)</f>
        <v>0</v>
      </c>
      <c r="AH282" s="456">
        <f>IF(AQ282="0",BJ282,0)</f>
        <v>0</v>
      </c>
      <c r="AI282" s="438" t="s">
        <v>648</v>
      </c>
      <c r="AJ282" s="456">
        <f>IF(AN282=0,J282,0)</f>
        <v>0</v>
      </c>
      <c r="AK282" s="456">
        <f>IF(AN282=12,J282,0)</f>
        <v>0</v>
      </c>
      <c r="AL282" s="456">
        <f>IF(AN282=21,J282,0)</f>
        <v>0</v>
      </c>
      <c r="AN282" s="456">
        <v>21</v>
      </c>
      <c r="AO282" s="456">
        <f>G282*0.577573034</f>
        <v>0</v>
      </c>
      <c r="AP282" s="456">
        <f>G282*(1-0.577573034)</f>
        <v>0</v>
      </c>
      <c r="AQ282" s="458" t="s">
        <v>651</v>
      </c>
      <c r="AV282" s="456">
        <f>AW282+AX282</f>
        <v>0</v>
      </c>
      <c r="AW282" s="456">
        <f>F282*AO282</f>
        <v>0</v>
      </c>
      <c r="AX282" s="456">
        <f>F282*AP282</f>
        <v>0</v>
      </c>
      <c r="AY282" s="458" t="s">
        <v>1296</v>
      </c>
      <c r="AZ282" s="458" t="s">
        <v>1015</v>
      </c>
      <c r="BA282" s="438" t="s">
        <v>656</v>
      </c>
      <c r="BC282" s="456">
        <f>AW282+AX282</f>
        <v>0</v>
      </c>
      <c r="BD282" s="456">
        <f>G282/(100-BE282)*100</f>
        <v>0</v>
      </c>
      <c r="BE282" s="456">
        <v>0</v>
      </c>
      <c r="BF282" s="456">
        <f>282</f>
        <v>282</v>
      </c>
      <c r="BH282" s="456">
        <f>F282*AO282</f>
        <v>0</v>
      </c>
      <c r="BI282" s="456">
        <f>F282*AP282</f>
        <v>0</v>
      </c>
      <c r="BJ282" s="456">
        <f>F282*G282</f>
        <v>0</v>
      </c>
      <c r="BK282" s="456"/>
      <c r="BL282" s="456">
        <v>93</v>
      </c>
      <c r="BW282" s="456">
        <v>21</v>
      </c>
      <c r="BX282" s="459" t="s">
        <v>1295</v>
      </c>
    </row>
    <row r="283" spans="1:76" ht="13.5">
      <c r="A283" s="460"/>
      <c r="C283" s="461" t="s">
        <v>1297</v>
      </c>
      <c r="D283" s="461" t="s">
        <v>648</v>
      </c>
      <c r="F283" s="462">
        <v>65.135599999999997</v>
      </c>
      <c r="K283" s="463"/>
    </row>
    <row r="284" spans="1:76" ht="13.5">
      <c r="A284" s="460"/>
      <c r="C284" s="461" t="s">
        <v>1298</v>
      </c>
      <c r="D284" s="461" t="s">
        <v>648</v>
      </c>
      <c r="F284" s="462">
        <v>48.046599999999998</v>
      </c>
      <c r="K284" s="463"/>
    </row>
    <row r="285" spans="1:76" ht="13.5">
      <c r="A285" s="460"/>
      <c r="C285" s="461" t="s">
        <v>1299</v>
      </c>
      <c r="D285" s="461" t="s">
        <v>648</v>
      </c>
      <c r="F285" s="462">
        <v>82.102699999999999</v>
      </c>
      <c r="K285" s="463"/>
    </row>
    <row r="286" spans="1:76" ht="13.5">
      <c r="A286" s="460"/>
      <c r="C286" s="461" t="s">
        <v>1300</v>
      </c>
      <c r="D286" s="461" t="s">
        <v>648</v>
      </c>
      <c r="F286" s="462">
        <v>85.003100000000003</v>
      </c>
      <c r="K286" s="463"/>
    </row>
    <row r="287" spans="1:76" ht="13.5">
      <c r="A287" s="460"/>
      <c r="C287" s="461" t="s">
        <v>1301</v>
      </c>
      <c r="D287" s="461" t="s">
        <v>648</v>
      </c>
      <c r="F287" s="462">
        <v>0</v>
      </c>
      <c r="K287" s="463"/>
    </row>
    <row r="288" spans="1:76" ht="13.5">
      <c r="A288" s="448" t="s">
        <v>648</v>
      </c>
      <c r="B288" s="449" t="s">
        <v>1023</v>
      </c>
      <c r="C288" s="450" t="s">
        <v>1024</v>
      </c>
      <c r="D288" s="451"/>
      <c r="E288" s="452" t="s">
        <v>607</v>
      </c>
      <c r="F288" s="452" t="s">
        <v>607</v>
      </c>
      <c r="G288" s="452" t="s">
        <v>607</v>
      </c>
      <c r="H288" s="416">
        <f>SUM(H289:H289)</f>
        <v>0</v>
      </c>
      <c r="I288" s="416">
        <f>SUM(I289:I289)</f>
        <v>0</v>
      </c>
      <c r="J288" s="416">
        <f>SUM(J289:J289)</f>
        <v>0</v>
      </c>
      <c r="K288" s="453" t="s">
        <v>648</v>
      </c>
      <c r="AI288" s="438" t="s">
        <v>648</v>
      </c>
      <c r="AS288" s="416">
        <f>SUM(AJ289:AJ289)</f>
        <v>0</v>
      </c>
      <c r="AT288" s="416">
        <f>SUM(AK289:AK289)</f>
        <v>0</v>
      </c>
      <c r="AU288" s="416">
        <f>SUM(AL289:AL289)</f>
        <v>0</v>
      </c>
    </row>
    <row r="289" spans="1:76" ht="13.5">
      <c r="A289" s="454" t="s">
        <v>1051</v>
      </c>
      <c r="B289" s="455" t="s">
        <v>1026</v>
      </c>
      <c r="C289" s="428" t="s">
        <v>1027</v>
      </c>
      <c r="D289" s="424"/>
      <c r="E289" s="455" t="s">
        <v>10</v>
      </c>
      <c r="F289" s="456">
        <v>4.6834199999999999</v>
      </c>
      <c r="G289" s="456">
        <v>0</v>
      </c>
      <c r="H289" s="456">
        <f>F289*AO289</f>
        <v>0</v>
      </c>
      <c r="I289" s="456">
        <f>F289*AP289</f>
        <v>0</v>
      </c>
      <c r="J289" s="456">
        <f>F289*G289</f>
        <v>0</v>
      </c>
      <c r="K289" s="457" t="s">
        <v>1410</v>
      </c>
      <c r="Z289" s="456">
        <f>IF(AQ289="5",BJ289,0)</f>
        <v>0</v>
      </c>
      <c r="AB289" s="456">
        <f>IF(AQ289="1",BH289,0)</f>
        <v>0</v>
      </c>
      <c r="AC289" s="456">
        <f>IF(AQ289="1",BI289,0)</f>
        <v>0</v>
      </c>
      <c r="AD289" s="456">
        <f>IF(AQ289="7",BH289,0)</f>
        <v>0</v>
      </c>
      <c r="AE289" s="456">
        <f>IF(AQ289="7",BI289,0)</f>
        <v>0</v>
      </c>
      <c r="AF289" s="456">
        <f>IF(AQ289="2",BH289,0)</f>
        <v>0</v>
      </c>
      <c r="AG289" s="456">
        <f>IF(AQ289="2",BI289,0)</f>
        <v>0</v>
      </c>
      <c r="AH289" s="456">
        <f>IF(AQ289="0",BJ289,0)</f>
        <v>0</v>
      </c>
      <c r="AI289" s="438" t="s">
        <v>648</v>
      </c>
      <c r="AJ289" s="456">
        <f>IF(AN289=0,J289,0)</f>
        <v>0</v>
      </c>
      <c r="AK289" s="456">
        <f>IF(AN289=12,J289,0)</f>
        <v>0</v>
      </c>
      <c r="AL289" s="456">
        <f>IF(AN289=21,J289,0)</f>
        <v>0</v>
      </c>
      <c r="AN289" s="456">
        <v>21</v>
      </c>
      <c r="AO289" s="456">
        <f>G289*0</f>
        <v>0</v>
      </c>
      <c r="AP289" s="456">
        <f>G289*(1-0)</f>
        <v>0</v>
      </c>
      <c r="AQ289" s="458" t="s">
        <v>673</v>
      </c>
      <c r="AV289" s="456">
        <f>AW289+AX289</f>
        <v>0</v>
      </c>
      <c r="AW289" s="456">
        <f>F289*AO289</f>
        <v>0</v>
      </c>
      <c r="AX289" s="456">
        <f>F289*AP289</f>
        <v>0</v>
      </c>
      <c r="AY289" s="458" t="s">
        <v>1028</v>
      </c>
      <c r="AZ289" s="458" t="s">
        <v>1015</v>
      </c>
      <c r="BA289" s="438" t="s">
        <v>656</v>
      </c>
      <c r="BC289" s="456">
        <f>AW289+AX289</f>
        <v>0</v>
      </c>
      <c r="BD289" s="456">
        <f>G289/(100-BE289)*100</f>
        <v>0</v>
      </c>
      <c r="BE289" s="456">
        <v>0</v>
      </c>
      <c r="BF289" s="456">
        <f>289</f>
        <v>289</v>
      </c>
      <c r="BH289" s="456">
        <f>F289*AO289</f>
        <v>0</v>
      </c>
      <c r="BI289" s="456">
        <f>F289*AP289</f>
        <v>0</v>
      </c>
      <c r="BJ289" s="456">
        <f>F289*G289</f>
        <v>0</v>
      </c>
      <c r="BK289" s="456"/>
      <c r="BL289" s="456"/>
      <c r="BW289" s="456">
        <v>21</v>
      </c>
      <c r="BX289" s="459" t="s">
        <v>1027</v>
      </c>
    </row>
    <row r="290" spans="1:76" ht="13.5">
      <c r="A290" s="460"/>
      <c r="C290" s="461" t="s">
        <v>1450</v>
      </c>
      <c r="D290" s="461" t="s">
        <v>648</v>
      </c>
      <c r="F290" s="462">
        <v>4.6834199999999999</v>
      </c>
      <c r="K290" s="463"/>
    </row>
    <row r="291" spans="1:76" ht="13.5">
      <c r="A291" s="448" t="s">
        <v>648</v>
      </c>
      <c r="B291" s="449" t="s">
        <v>1032</v>
      </c>
      <c r="C291" s="450" t="s">
        <v>1033</v>
      </c>
      <c r="D291" s="451"/>
      <c r="E291" s="452" t="s">
        <v>607</v>
      </c>
      <c r="F291" s="452" t="s">
        <v>607</v>
      </c>
      <c r="G291" s="452" t="s">
        <v>607</v>
      </c>
      <c r="H291" s="416">
        <f>SUM(H292:H292)</f>
        <v>0</v>
      </c>
      <c r="I291" s="416">
        <f>SUM(I292:I292)</f>
        <v>0</v>
      </c>
      <c r="J291" s="416">
        <f>SUM(J292:J292)</f>
        <v>0</v>
      </c>
      <c r="K291" s="453" t="s">
        <v>648</v>
      </c>
      <c r="AI291" s="438" t="s">
        <v>648</v>
      </c>
      <c r="AS291" s="416">
        <f>SUM(AJ292:AJ292)</f>
        <v>0</v>
      </c>
      <c r="AT291" s="416">
        <f>SUM(AK292:AK292)</f>
        <v>0</v>
      </c>
      <c r="AU291" s="416">
        <f>SUM(AL292:AL292)</f>
        <v>0</v>
      </c>
    </row>
    <row r="292" spans="1:76" ht="13.5">
      <c r="A292" s="454" t="s">
        <v>1053</v>
      </c>
      <c r="B292" s="455" t="s">
        <v>1035</v>
      </c>
      <c r="C292" s="428" t="s">
        <v>1036</v>
      </c>
      <c r="D292" s="424"/>
      <c r="E292" s="455" t="s">
        <v>10</v>
      </c>
      <c r="F292" s="456">
        <v>188.13772</v>
      </c>
      <c r="G292" s="456">
        <v>0</v>
      </c>
      <c r="H292" s="456">
        <f>F292*AO292</f>
        <v>0</v>
      </c>
      <c r="I292" s="456">
        <f>F292*AP292</f>
        <v>0</v>
      </c>
      <c r="J292" s="456">
        <f>F292*G292</f>
        <v>0</v>
      </c>
      <c r="K292" s="457" t="s">
        <v>1410</v>
      </c>
      <c r="Z292" s="456">
        <f>IF(AQ292="5",BJ292,0)</f>
        <v>0</v>
      </c>
      <c r="AB292" s="456">
        <f>IF(AQ292="1",BH292,0)</f>
        <v>0</v>
      </c>
      <c r="AC292" s="456">
        <f>IF(AQ292="1",BI292,0)</f>
        <v>0</v>
      </c>
      <c r="AD292" s="456">
        <f>IF(AQ292="7",BH292,0)</f>
        <v>0</v>
      </c>
      <c r="AE292" s="456">
        <f>IF(AQ292="7",BI292,0)</f>
        <v>0</v>
      </c>
      <c r="AF292" s="456">
        <f>IF(AQ292="2",BH292,0)</f>
        <v>0</v>
      </c>
      <c r="AG292" s="456">
        <f>IF(AQ292="2",BI292,0)</f>
        <v>0</v>
      </c>
      <c r="AH292" s="456">
        <f>IF(AQ292="0",BJ292,0)</f>
        <v>0</v>
      </c>
      <c r="AI292" s="438" t="s">
        <v>648</v>
      </c>
      <c r="AJ292" s="456">
        <f>IF(AN292=0,J292,0)</f>
        <v>0</v>
      </c>
      <c r="AK292" s="456">
        <f>IF(AN292=12,J292,0)</f>
        <v>0</v>
      </c>
      <c r="AL292" s="456">
        <f>IF(AN292=21,J292,0)</f>
        <v>0</v>
      </c>
      <c r="AN292" s="456">
        <v>21</v>
      </c>
      <c r="AO292" s="456">
        <f>G292*0</f>
        <v>0</v>
      </c>
      <c r="AP292" s="456">
        <f>G292*(1-0)</f>
        <v>0</v>
      </c>
      <c r="AQ292" s="458" t="s">
        <v>673</v>
      </c>
      <c r="AV292" s="456">
        <f>AW292+AX292</f>
        <v>0</v>
      </c>
      <c r="AW292" s="456">
        <f>F292*AO292</f>
        <v>0</v>
      </c>
      <c r="AX292" s="456">
        <f>F292*AP292</f>
        <v>0</v>
      </c>
      <c r="AY292" s="458" t="s">
        <v>1037</v>
      </c>
      <c r="AZ292" s="458" t="s">
        <v>1015</v>
      </c>
      <c r="BA292" s="438" t="s">
        <v>656</v>
      </c>
      <c r="BC292" s="456">
        <f>AW292+AX292</f>
        <v>0</v>
      </c>
      <c r="BD292" s="456">
        <f>G292/(100-BE292)*100</f>
        <v>0</v>
      </c>
      <c r="BE292" s="456">
        <v>0</v>
      </c>
      <c r="BF292" s="456">
        <f>292</f>
        <v>292</v>
      </c>
      <c r="BH292" s="456">
        <f>F292*AO292</f>
        <v>0</v>
      </c>
      <c r="BI292" s="456">
        <f>F292*AP292</f>
        <v>0</v>
      </c>
      <c r="BJ292" s="456">
        <f>F292*G292</f>
        <v>0</v>
      </c>
      <c r="BK292" s="456"/>
      <c r="BL292" s="456"/>
      <c r="BW292" s="456">
        <v>21</v>
      </c>
      <c r="BX292" s="459" t="s">
        <v>1036</v>
      </c>
    </row>
    <row r="293" spans="1:76" ht="13.5">
      <c r="A293" s="460"/>
      <c r="C293" s="461" t="s">
        <v>1451</v>
      </c>
      <c r="D293" s="461" t="s">
        <v>648</v>
      </c>
      <c r="F293" s="462">
        <v>188.13772</v>
      </c>
      <c r="K293" s="463"/>
    </row>
    <row r="294" spans="1:76" ht="13.5">
      <c r="A294" s="448" t="s">
        <v>648</v>
      </c>
      <c r="B294" s="449" t="s">
        <v>1302</v>
      </c>
      <c r="C294" s="450" t="s">
        <v>1303</v>
      </c>
      <c r="D294" s="451"/>
      <c r="E294" s="452" t="s">
        <v>607</v>
      </c>
      <c r="F294" s="452" t="s">
        <v>607</v>
      </c>
      <c r="G294" s="452" t="s">
        <v>607</v>
      </c>
      <c r="H294" s="416">
        <f>SUM(H295:H295)</f>
        <v>0</v>
      </c>
      <c r="I294" s="416">
        <f>SUM(I295:I295)</f>
        <v>0</v>
      </c>
      <c r="J294" s="416">
        <f>SUM(J295:J295)</f>
        <v>0</v>
      </c>
      <c r="K294" s="453" t="s">
        <v>648</v>
      </c>
      <c r="AI294" s="438" t="s">
        <v>648</v>
      </c>
      <c r="AS294" s="416">
        <f>SUM(AJ295:AJ295)</f>
        <v>0</v>
      </c>
      <c r="AT294" s="416">
        <f>SUM(AK295:AK295)</f>
        <v>0</v>
      </c>
      <c r="AU294" s="416">
        <f>SUM(AL295:AL295)</f>
        <v>0</v>
      </c>
    </row>
    <row r="295" spans="1:76" ht="13.5">
      <c r="A295" s="454" t="s">
        <v>1056</v>
      </c>
      <c r="B295" s="455" t="s">
        <v>1304</v>
      </c>
      <c r="C295" s="428" t="s">
        <v>1305</v>
      </c>
      <c r="D295" s="424"/>
      <c r="E295" s="455" t="s">
        <v>10</v>
      </c>
      <c r="F295" s="456">
        <v>3.11517</v>
      </c>
      <c r="G295" s="456">
        <v>0</v>
      </c>
      <c r="H295" s="456">
        <f>F295*AO295</f>
        <v>0</v>
      </c>
      <c r="I295" s="456">
        <f>F295*AP295</f>
        <v>0</v>
      </c>
      <c r="J295" s="456">
        <f>F295*G295</f>
        <v>0</v>
      </c>
      <c r="K295" s="457" t="s">
        <v>1410</v>
      </c>
      <c r="Z295" s="456">
        <f>IF(AQ295="5",BJ295,0)</f>
        <v>0</v>
      </c>
      <c r="AB295" s="456">
        <f>IF(AQ295="1",BH295,0)</f>
        <v>0</v>
      </c>
      <c r="AC295" s="456">
        <f>IF(AQ295="1",BI295,0)</f>
        <v>0</v>
      </c>
      <c r="AD295" s="456">
        <f>IF(AQ295="7",BH295,0)</f>
        <v>0</v>
      </c>
      <c r="AE295" s="456">
        <f>IF(AQ295="7",BI295,0)</f>
        <v>0</v>
      </c>
      <c r="AF295" s="456">
        <f>IF(AQ295="2",BH295,0)</f>
        <v>0</v>
      </c>
      <c r="AG295" s="456">
        <f>IF(AQ295="2",BI295,0)</f>
        <v>0</v>
      </c>
      <c r="AH295" s="456">
        <f>IF(AQ295="0",BJ295,0)</f>
        <v>0</v>
      </c>
      <c r="AI295" s="438" t="s">
        <v>648</v>
      </c>
      <c r="AJ295" s="456">
        <f>IF(AN295=0,J295,0)</f>
        <v>0</v>
      </c>
      <c r="AK295" s="456">
        <f>IF(AN295=12,J295,0)</f>
        <v>0</v>
      </c>
      <c r="AL295" s="456">
        <f>IF(AN295=21,J295,0)</f>
        <v>0</v>
      </c>
      <c r="AN295" s="456">
        <v>21</v>
      </c>
      <c r="AO295" s="456">
        <f>G295*0</f>
        <v>0</v>
      </c>
      <c r="AP295" s="456">
        <f>G295*(1-0)</f>
        <v>0</v>
      </c>
      <c r="AQ295" s="458" t="s">
        <v>673</v>
      </c>
      <c r="AV295" s="456">
        <f>AW295+AX295</f>
        <v>0</v>
      </c>
      <c r="AW295" s="456">
        <f>F295*AO295</f>
        <v>0</v>
      </c>
      <c r="AX295" s="456">
        <f>F295*AP295</f>
        <v>0</v>
      </c>
      <c r="AY295" s="458" t="s">
        <v>1306</v>
      </c>
      <c r="AZ295" s="458" t="s">
        <v>1015</v>
      </c>
      <c r="BA295" s="438" t="s">
        <v>656</v>
      </c>
      <c r="BC295" s="456">
        <f>AW295+AX295</f>
        <v>0</v>
      </c>
      <c r="BD295" s="456">
        <f>G295/(100-BE295)*100</f>
        <v>0</v>
      </c>
      <c r="BE295" s="456">
        <v>0</v>
      </c>
      <c r="BF295" s="456">
        <f>295</f>
        <v>295</v>
      </c>
      <c r="BH295" s="456">
        <f>F295*AO295</f>
        <v>0</v>
      </c>
      <c r="BI295" s="456">
        <f>F295*AP295</f>
        <v>0</v>
      </c>
      <c r="BJ295" s="456">
        <f>F295*G295</f>
        <v>0</v>
      </c>
      <c r="BK295" s="456"/>
      <c r="BL295" s="456"/>
      <c r="BW295" s="456">
        <v>21</v>
      </c>
      <c r="BX295" s="459" t="s">
        <v>1305</v>
      </c>
    </row>
    <row r="296" spans="1:76" ht="13.5">
      <c r="A296" s="460"/>
      <c r="C296" s="461" t="s">
        <v>1307</v>
      </c>
      <c r="D296" s="461" t="s">
        <v>648</v>
      </c>
      <c r="F296" s="462">
        <v>3.11517</v>
      </c>
      <c r="K296" s="463"/>
    </row>
    <row r="297" spans="1:76" ht="13.5">
      <c r="A297" s="448" t="s">
        <v>648</v>
      </c>
      <c r="B297" s="449" t="s">
        <v>1308</v>
      </c>
      <c r="C297" s="450" t="s">
        <v>1309</v>
      </c>
      <c r="D297" s="451"/>
      <c r="E297" s="452" t="s">
        <v>607</v>
      </c>
      <c r="F297" s="452" t="s">
        <v>607</v>
      </c>
      <c r="G297" s="452" t="s">
        <v>607</v>
      </c>
      <c r="H297" s="416">
        <f>SUM(H298:H302)</f>
        <v>0</v>
      </c>
      <c r="I297" s="416">
        <f>SUM(I298:I302)</f>
        <v>0</v>
      </c>
      <c r="J297" s="416">
        <f>SUM(J298:J302)</f>
        <v>0</v>
      </c>
      <c r="K297" s="453" t="s">
        <v>648</v>
      </c>
      <c r="AI297" s="438" t="s">
        <v>648</v>
      </c>
      <c r="AS297" s="416">
        <f>SUM(AJ298:AJ302)</f>
        <v>0</v>
      </c>
      <c r="AT297" s="416">
        <f>SUM(AK298:AK302)</f>
        <v>0</v>
      </c>
      <c r="AU297" s="416">
        <f>SUM(AL298:AL302)</f>
        <v>0</v>
      </c>
    </row>
    <row r="298" spans="1:76" ht="13.5">
      <c r="A298" s="454" t="s">
        <v>1059</v>
      </c>
      <c r="B298" s="455" t="s">
        <v>1310</v>
      </c>
      <c r="C298" s="428" t="s">
        <v>1311</v>
      </c>
      <c r="D298" s="424"/>
      <c r="E298" s="455" t="s">
        <v>14</v>
      </c>
      <c r="F298" s="456">
        <v>3</v>
      </c>
      <c r="G298" s="456">
        <v>0</v>
      </c>
      <c r="H298" s="456">
        <f>F298*AO298</f>
        <v>0</v>
      </c>
      <c r="I298" s="456">
        <f>F298*AP298</f>
        <v>0</v>
      </c>
      <c r="J298" s="456">
        <f>F298*G298</f>
        <v>0</v>
      </c>
      <c r="K298" s="457" t="s">
        <v>1410</v>
      </c>
      <c r="Z298" s="456">
        <f>IF(AQ298="5",BJ298,0)</f>
        <v>0</v>
      </c>
      <c r="AB298" s="456">
        <f>IF(AQ298="1",BH298,0)</f>
        <v>0</v>
      </c>
      <c r="AC298" s="456">
        <f>IF(AQ298="1",BI298,0)</f>
        <v>0</v>
      </c>
      <c r="AD298" s="456">
        <f>IF(AQ298="7",BH298,0)</f>
        <v>0</v>
      </c>
      <c r="AE298" s="456">
        <f>IF(AQ298="7",BI298,0)</f>
        <v>0</v>
      </c>
      <c r="AF298" s="456">
        <f>IF(AQ298="2",BH298,0)</f>
        <v>0</v>
      </c>
      <c r="AG298" s="456">
        <f>IF(AQ298="2",BI298,0)</f>
        <v>0</v>
      </c>
      <c r="AH298" s="456">
        <f>IF(AQ298="0",BJ298,0)</f>
        <v>0</v>
      </c>
      <c r="AI298" s="438" t="s">
        <v>648</v>
      </c>
      <c r="AJ298" s="456">
        <f>IF(AN298=0,J298,0)</f>
        <v>0</v>
      </c>
      <c r="AK298" s="456">
        <f>IF(AN298=12,J298,0)</f>
        <v>0</v>
      </c>
      <c r="AL298" s="456">
        <f>IF(AN298=21,J298,0)</f>
        <v>0</v>
      </c>
      <c r="AN298" s="456">
        <v>21</v>
      </c>
      <c r="AO298" s="456">
        <f>G298*0</f>
        <v>0</v>
      </c>
      <c r="AP298" s="456">
        <f>G298*(1-0)</f>
        <v>0</v>
      </c>
      <c r="AQ298" s="458" t="s">
        <v>660</v>
      </c>
      <c r="AV298" s="456">
        <f>AW298+AX298</f>
        <v>0</v>
      </c>
      <c r="AW298" s="456">
        <f>F298*AO298</f>
        <v>0</v>
      </c>
      <c r="AX298" s="456">
        <f>F298*AP298</f>
        <v>0</v>
      </c>
      <c r="AY298" s="458" t="s">
        <v>1312</v>
      </c>
      <c r="AZ298" s="458" t="s">
        <v>1015</v>
      </c>
      <c r="BA298" s="438" t="s">
        <v>656</v>
      </c>
      <c r="BC298" s="456">
        <f>AW298+AX298</f>
        <v>0</v>
      </c>
      <c r="BD298" s="456">
        <f>G298/(100-BE298)*100</f>
        <v>0</v>
      </c>
      <c r="BE298" s="456">
        <v>0</v>
      </c>
      <c r="BF298" s="456">
        <f>298</f>
        <v>298</v>
      </c>
      <c r="BH298" s="456">
        <f>F298*AO298</f>
        <v>0</v>
      </c>
      <c r="BI298" s="456">
        <f>F298*AP298</f>
        <v>0</v>
      </c>
      <c r="BJ298" s="456">
        <f>F298*G298</f>
        <v>0</v>
      </c>
      <c r="BK298" s="456"/>
      <c r="BL298" s="456"/>
      <c r="BW298" s="456">
        <v>21</v>
      </c>
      <c r="BX298" s="459" t="s">
        <v>1311</v>
      </c>
    </row>
    <row r="299" spans="1:76" ht="13.5">
      <c r="A299" s="460"/>
      <c r="C299" s="461" t="s">
        <v>1313</v>
      </c>
      <c r="D299" s="461" t="s">
        <v>648</v>
      </c>
      <c r="F299" s="462">
        <v>1</v>
      </c>
      <c r="K299" s="463"/>
    </row>
    <row r="300" spans="1:76" ht="13.5">
      <c r="A300" s="460"/>
      <c r="C300" s="461" t="s">
        <v>1314</v>
      </c>
      <c r="D300" s="461" t="s">
        <v>648</v>
      </c>
      <c r="F300" s="462">
        <v>2</v>
      </c>
      <c r="K300" s="463"/>
    </row>
    <row r="301" spans="1:76" ht="13.5">
      <c r="A301" s="454" t="s">
        <v>1060</v>
      </c>
      <c r="B301" s="455" t="s">
        <v>1315</v>
      </c>
      <c r="C301" s="428" t="s">
        <v>1316</v>
      </c>
      <c r="D301" s="424"/>
      <c r="E301" s="455" t="s">
        <v>14</v>
      </c>
      <c r="F301" s="456">
        <v>1</v>
      </c>
      <c r="G301" s="456">
        <v>0</v>
      </c>
      <c r="H301" s="456">
        <f>F301*AO301</f>
        <v>0</v>
      </c>
      <c r="I301" s="456">
        <f>F301*AP301</f>
        <v>0</v>
      </c>
      <c r="J301" s="456">
        <f>F301*G301</f>
        <v>0</v>
      </c>
      <c r="K301" s="457" t="s">
        <v>648</v>
      </c>
      <c r="Z301" s="456">
        <f>IF(AQ301="5",BJ301,0)</f>
        <v>0</v>
      </c>
      <c r="AB301" s="456">
        <f>IF(AQ301="1",BH301,0)</f>
        <v>0</v>
      </c>
      <c r="AC301" s="456">
        <f>IF(AQ301="1",BI301,0)</f>
        <v>0</v>
      </c>
      <c r="AD301" s="456">
        <f>IF(AQ301="7",BH301,0)</f>
        <v>0</v>
      </c>
      <c r="AE301" s="456">
        <f>IF(AQ301="7",BI301,0)</f>
        <v>0</v>
      </c>
      <c r="AF301" s="456">
        <f>IF(AQ301="2",BH301,0)</f>
        <v>0</v>
      </c>
      <c r="AG301" s="456">
        <f>IF(AQ301="2",BI301,0)</f>
        <v>0</v>
      </c>
      <c r="AH301" s="456">
        <f>IF(AQ301="0",BJ301,0)</f>
        <v>0</v>
      </c>
      <c r="AI301" s="438" t="s">
        <v>648</v>
      </c>
      <c r="AJ301" s="456">
        <f>IF(AN301=0,J301,0)</f>
        <v>0</v>
      </c>
      <c r="AK301" s="456">
        <f>IF(AN301=12,J301,0)</f>
        <v>0</v>
      </c>
      <c r="AL301" s="456">
        <f>IF(AN301=21,J301,0)</f>
        <v>0</v>
      </c>
      <c r="AN301" s="456">
        <v>21</v>
      </c>
      <c r="AO301" s="456">
        <f>G301*1</f>
        <v>0</v>
      </c>
      <c r="AP301" s="456">
        <f>G301*(1-1)</f>
        <v>0</v>
      </c>
      <c r="AQ301" s="458" t="s">
        <v>651</v>
      </c>
      <c r="AV301" s="456">
        <f>AW301+AX301</f>
        <v>0</v>
      </c>
      <c r="AW301" s="456">
        <f>F301*AO301</f>
        <v>0</v>
      </c>
      <c r="AX301" s="456">
        <f>F301*AP301</f>
        <v>0</v>
      </c>
      <c r="AY301" s="458" t="s">
        <v>1312</v>
      </c>
      <c r="AZ301" s="458" t="s">
        <v>1015</v>
      </c>
      <c r="BA301" s="438" t="s">
        <v>656</v>
      </c>
      <c r="BC301" s="456">
        <f>AW301+AX301</f>
        <v>0</v>
      </c>
      <c r="BD301" s="456">
        <f>G301/(100-BE301)*100</f>
        <v>0</v>
      </c>
      <c r="BE301" s="456">
        <v>0</v>
      </c>
      <c r="BF301" s="456">
        <f>301</f>
        <v>301</v>
      </c>
      <c r="BH301" s="456">
        <f>F301*AO301</f>
        <v>0</v>
      </c>
      <c r="BI301" s="456">
        <f>F301*AP301</f>
        <v>0</v>
      </c>
      <c r="BJ301" s="456">
        <f>F301*G301</f>
        <v>0</v>
      </c>
      <c r="BK301" s="456"/>
      <c r="BL301" s="456"/>
      <c r="BW301" s="456">
        <v>21</v>
      </c>
      <c r="BX301" s="459" t="s">
        <v>1316</v>
      </c>
    </row>
    <row r="302" spans="1:76" ht="13.5">
      <c r="A302" s="454" t="s">
        <v>1063</v>
      </c>
      <c r="B302" s="455" t="s">
        <v>1317</v>
      </c>
      <c r="C302" s="428" t="s">
        <v>1318</v>
      </c>
      <c r="D302" s="424"/>
      <c r="E302" s="455" t="s">
        <v>14</v>
      </c>
      <c r="F302" s="456">
        <v>2</v>
      </c>
      <c r="G302" s="456">
        <v>0</v>
      </c>
      <c r="H302" s="456">
        <f>F302*AO302</f>
        <v>0</v>
      </c>
      <c r="I302" s="456">
        <f>F302*AP302</f>
        <v>0</v>
      </c>
      <c r="J302" s="456">
        <f>F302*G302</f>
        <v>0</v>
      </c>
      <c r="K302" s="457" t="s">
        <v>648</v>
      </c>
      <c r="Z302" s="456">
        <f>IF(AQ302="5",BJ302,0)</f>
        <v>0</v>
      </c>
      <c r="AB302" s="456">
        <f>IF(AQ302="1",BH302,0)</f>
        <v>0</v>
      </c>
      <c r="AC302" s="456">
        <f>IF(AQ302="1",BI302,0)</f>
        <v>0</v>
      </c>
      <c r="AD302" s="456">
        <f>IF(AQ302="7",BH302,0)</f>
        <v>0</v>
      </c>
      <c r="AE302" s="456">
        <f>IF(AQ302="7",BI302,0)</f>
        <v>0</v>
      </c>
      <c r="AF302" s="456">
        <f>IF(AQ302="2",BH302,0)</f>
        <v>0</v>
      </c>
      <c r="AG302" s="456">
        <f>IF(AQ302="2",BI302,0)</f>
        <v>0</v>
      </c>
      <c r="AH302" s="456">
        <f>IF(AQ302="0",BJ302,0)</f>
        <v>0</v>
      </c>
      <c r="AI302" s="438" t="s">
        <v>648</v>
      </c>
      <c r="AJ302" s="456">
        <f>IF(AN302=0,J302,0)</f>
        <v>0</v>
      </c>
      <c r="AK302" s="456">
        <f>IF(AN302=12,J302,0)</f>
        <v>0</v>
      </c>
      <c r="AL302" s="456">
        <f>IF(AN302=21,J302,0)</f>
        <v>0</v>
      </c>
      <c r="AN302" s="456">
        <v>21</v>
      </c>
      <c r="AO302" s="456">
        <f>G302*1</f>
        <v>0</v>
      </c>
      <c r="AP302" s="456">
        <f>G302*(1-1)</f>
        <v>0</v>
      </c>
      <c r="AQ302" s="458" t="s">
        <v>651</v>
      </c>
      <c r="AV302" s="456">
        <f>AW302+AX302</f>
        <v>0</v>
      </c>
      <c r="AW302" s="456">
        <f>F302*AO302</f>
        <v>0</v>
      </c>
      <c r="AX302" s="456">
        <f>F302*AP302</f>
        <v>0</v>
      </c>
      <c r="AY302" s="458" t="s">
        <v>1312</v>
      </c>
      <c r="AZ302" s="458" t="s">
        <v>1015</v>
      </c>
      <c r="BA302" s="438" t="s">
        <v>656</v>
      </c>
      <c r="BC302" s="456">
        <f>AW302+AX302</f>
        <v>0</v>
      </c>
      <c r="BD302" s="456">
        <f>G302/(100-BE302)*100</f>
        <v>0</v>
      </c>
      <c r="BE302" s="456">
        <v>0</v>
      </c>
      <c r="BF302" s="456">
        <f>302</f>
        <v>302</v>
      </c>
      <c r="BH302" s="456">
        <f>F302*AO302</f>
        <v>0</v>
      </c>
      <c r="BI302" s="456">
        <f>F302*AP302</f>
        <v>0</v>
      </c>
      <c r="BJ302" s="456">
        <f>F302*G302</f>
        <v>0</v>
      </c>
      <c r="BK302" s="456"/>
      <c r="BL302" s="456"/>
      <c r="BW302" s="456">
        <v>21</v>
      </c>
      <c r="BX302" s="459" t="s">
        <v>1318</v>
      </c>
    </row>
    <row r="303" spans="1:76" ht="13.5">
      <c r="A303" s="448" t="s">
        <v>648</v>
      </c>
      <c r="B303" s="449" t="s">
        <v>1038</v>
      </c>
      <c r="C303" s="450" t="s">
        <v>1039</v>
      </c>
      <c r="D303" s="451"/>
      <c r="E303" s="452" t="s">
        <v>607</v>
      </c>
      <c r="F303" s="452" t="s">
        <v>607</v>
      </c>
      <c r="G303" s="452" t="s">
        <v>607</v>
      </c>
      <c r="H303" s="416">
        <f>SUM(H304:H304)</f>
        <v>0</v>
      </c>
      <c r="I303" s="416">
        <f>SUM(I304:I304)</f>
        <v>0</v>
      </c>
      <c r="J303" s="416">
        <f>SUM(J304:J304)</f>
        <v>0</v>
      </c>
      <c r="K303" s="453" t="s">
        <v>648</v>
      </c>
      <c r="AI303" s="438" t="s">
        <v>648</v>
      </c>
      <c r="AS303" s="416">
        <f>SUM(AJ304:AJ304)</f>
        <v>0</v>
      </c>
      <c r="AT303" s="416">
        <f>SUM(AK304:AK304)</f>
        <v>0</v>
      </c>
      <c r="AU303" s="416">
        <f>SUM(AL304:AL304)</f>
        <v>0</v>
      </c>
    </row>
    <row r="304" spans="1:76" ht="13.5">
      <c r="A304" s="454" t="s">
        <v>1068</v>
      </c>
      <c r="B304" s="455" t="s">
        <v>1041</v>
      </c>
      <c r="C304" s="428" t="s">
        <v>1042</v>
      </c>
      <c r="D304" s="424"/>
      <c r="E304" s="455" t="s">
        <v>687</v>
      </c>
      <c r="F304" s="456">
        <v>1.8134999999999999</v>
      </c>
      <c r="G304" s="456">
        <v>0</v>
      </c>
      <c r="H304" s="456">
        <f>F304*AO304</f>
        <v>0</v>
      </c>
      <c r="I304" s="456">
        <f>F304*AP304</f>
        <v>0</v>
      </c>
      <c r="J304" s="456">
        <f>F304*G304</f>
        <v>0</v>
      </c>
      <c r="K304" s="457" t="s">
        <v>1410</v>
      </c>
      <c r="Z304" s="456">
        <f>IF(AQ304="5",BJ304,0)</f>
        <v>0</v>
      </c>
      <c r="AB304" s="456">
        <f>IF(AQ304="1",BH304,0)</f>
        <v>0</v>
      </c>
      <c r="AC304" s="456">
        <f>IF(AQ304="1",BI304,0)</f>
        <v>0</v>
      </c>
      <c r="AD304" s="456">
        <f>IF(AQ304="7",BH304,0)</f>
        <v>0</v>
      </c>
      <c r="AE304" s="456">
        <f>IF(AQ304="7",BI304,0)</f>
        <v>0</v>
      </c>
      <c r="AF304" s="456">
        <f>IF(AQ304="2",BH304,0)</f>
        <v>0</v>
      </c>
      <c r="AG304" s="456">
        <f>IF(AQ304="2",BI304,0)</f>
        <v>0</v>
      </c>
      <c r="AH304" s="456">
        <f>IF(AQ304="0",BJ304,0)</f>
        <v>0</v>
      </c>
      <c r="AI304" s="438" t="s">
        <v>648</v>
      </c>
      <c r="AJ304" s="456">
        <f>IF(AN304=0,J304,0)</f>
        <v>0</v>
      </c>
      <c r="AK304" s="456">
        <f>IF(AN304=12,J304,0)</f>
        <v>0</v>
      </c>
      <c r="AL304" s="456">
        <f>IF(AN304=21,J304,0)</f>
        <v>0</v>
      </c>
      <c r="AN304" s="456">
        <v>21</v>
      </c>
      <c r="AO304" s="456">
        <f>G304*0.783427662</f>
        <v>0</v>
      </c>
      <c r="AP304" s="456">
        <f>G304*(1-0.783427662)</f>
        <v>0</v>
      </c>
      <c r="AQ304" s="458" t="s">
        <v>660</v>
      </c>
      <c r="AV304" s="456">
        <f>AW304+AX304</f>
        <v>0</v>
      </c>
      <c r="AW304" s="456">
        <f>F304*AO304</f>
        <v>0</v>
      </c>
      <c r="AX304" s="456">
        <f>F304*AP304</f>
        <v>0</v>
      </c>
      <c r="AY304" s="458" t="s">
        <v>1043</v>
      </c>
      <c r="AZ304" s="458" t="s">
        <v>1015</v>
      </c>
      <c r="BA304" s="438" t="s">
        <v>656</v>
      </c>
      <c r="BC304" s="456">
        <f>AW304+AX304</f>
        <v>0</v>
      </c>
      <c r="BD304" s="456">
        <f>G304/(100-BE304)*100</f>
        <v>0</v>
      </c>
      <c r="BE304" s="456">
        <v>0</v>
      </c>
      <c r="BF304" s="456">
        <f>304</f>
        <v>304</v>
      </c>
      <c r="BH304" s="456">
        <f>F304*AO304</f>
        <v>0</v>
      </c>
      <c r="BI304" s="456">
        <f>F304*AP304</f>
        <v>0</v>
      </c>
      <c r="BJ304" s="456">
        <f>F304*G304</f>
        <v>0</v>
      </c>
      <c r="BK304" s="456"/>
      <c r="BL304" s="456"/>
      <c r="BW304" s="456">
        <v>21</v>
      </c>
      <c r="BX304" s="459" t="s">
        <v>1042</v>
      </c>
    </row>
    <row r="305" spans="1:76" ht="13.5">
      <c r="A305" s="460"/>
      <c r="C305" s="461" t="s">
        <v>1319</v>
      </c>
      <c r="D305" s="461" t="s">
        <v>648</v>
      </c>
      <c r="F305" s="462">
        <v>1.8134999999999999</v>
      </c>
      <c r="K305" s="463"/>
    </row>
    <row r="306" spans="1:76" ht="13.5">
      <c r="A306" s="448" t="s">
        <v>648</v>
      </c>
      <c r="B306" s="449" t="s">
        <v>1045</v>
      </c>
      <c r="C306" s="450" t="s">
        <v>1046</v>
      </c>
      <c r="D306" s="451"/>
      <c r="E306" s="452" t="s">
        <v>607</v>
      </c>
      <c r="F306" s="452" t="s">
        <v>607</v>
      </c>
      <c r="G306" s="452" t="s">
        <v>607</v>
      </c>
      <c r="H306" s="416">
        <f>SUM(H307:H319)</f>
        <v>0</v>
      </c>
      <c r="I306" s="416">
        <f>SUM(I307:I319)</f>
        <v>0</v>
      </c>
      <c r="J306" s="416">
        <f>SUM(J307:J319)</f>
        <v>0</v>
      </c>
      <c r="K306" s="453" t="s">
        <v>648</v>
      </c>
      <c r="AI306" s="438" t="s">
        <v>648</v>
      </c>
      <c r="AS306" s="416">
        <f>SUM(AJ307:AJ319)</f>
        <v>0</v>
      </c>
      <c r="AT306" s="416">
        <f>SUM(AK307:AK319)</f>
        <v>0</v>
      </c>
      <c r="AU306" s="416">
        <f>SUM(AL307:AL319)</f>
        <v>0</v>
      </c>
    </row>
    <row r="307" spans="1:76" ht="13.5">
      <c r="A307" s="454" t="s">
        <v>1071</v>
      </c>
      <c r="B307" s="455" t="s">
        <v>1052</v>
      </c>
      <c r="C307" s="428" t="s">
        <v>1320</v>
      </c>
      <c r="D307" s="424"/>
      <c r="E307" s="455" t="s">
        <v>10</v>
      </c>
      <c r="F307" s="456">
        <v>2.97</v>
      </c>
      <c r="G307" s="456">
        <v>0</v>
      </c>
      <c r="H307" s="456">
        <f>F307*AO307</f>
        <v>0</v>
      </c>
      <c r="I307" s="456">
        <f>F307*AP307</f>
        <v>0</v>
      </c>
      <c r="J307" s="456">
        <f>F307*G307</f>
        <v>0</v>
      </c>
      <c r="K307" s="457" t="s">
        <v>1410</v>
      </c>
      <c r="Z307" s="456">
        <f>IF(AQ307="5",BJ307,0)</f>
        <v>0</v>
      </c>
      <c r="AB307" s="456">
        <f>IF(AQ307="1",BH307,0)</f>
        <v>0</v>
      </c>
      <c r="AC307" s="456">
        <f>IF(AQ307="1",BI307,0)</f>
        <v>0</v>
      </c>
      <c r="AD307" s="456">
        <f>IF(AQ307="7",BH307,0)</f>
        <v>0</v>
      </c>
      <c r="AE307" s="456">
        <f>IF(AQ307="7",BI307,0)</f>
        <v>0</v>
      </c>
      <c r="AF307" s="456">
        <f>IF(AQ307="2",BH307,0)</f>
        <v>0</v>
      </c>
      <c r="AG307" s="456">
        <f>IF(AQ307="2",BI307,0)</f>
        <v>0</v>
      </c>
      <c r="AH307" s="456">
        <f>IF(AQ307="0",BJ307,0)</f>
        <v>0</v>
      </c>
      <c r="AI307" s="438" t="s">
        <v>648</v>
      </c>
      <c r="AJ307" s="456">
        <f>IF(AN307=0,J307,0)</f>
        <v>0</v>
      </c>
      <c r="AK307" s="456">
        <f>IF(AN307=12,J307,0)</f>
        <v>0</v>
      </c>
      <c r="AL307" s="456">
        <f>IF(AN307=21,J307,0)</f>
        <v>0</v>
      </c>
      <c r="AN307" s="456">
        <v>21</v>
      </c>
      <c r="AO307" s="456">
        <f>G307*0</f>
        <v>0</v>
      </c>
      <c r="AP307" s="456">
        <f>G307*(1-0)</f>
        <v>0</v>
      </c>
      <c r="AQ307" s="458" t="s">
        <v>673</v>
      </c>
      <c r="AV307" s="456">
        <f>AW307+AX307</f>
        <v>0</v>
      </c>
      <c r="AW307" s="456">
        <f>F307*AO307</f>
        <v>0</v>
      </c>
      <c r="AX307" s="456">
        <f>F307*AP307</f>
        <v>0</v>
      </c>
      <c r="AY307" s="458" t="s">
        <v>1050</v>
      </c>
      <c r="AZ307" s="458" t="s">
        <v>1015</v>
      </c>
      <c r="BA307" s="438" t="s">
        <v>656</v>
      </c>
      <c r="BC307" s="456">
        <f>AW307+AX307</f>
        <v>0</v>
      </c>
      <c r="BD307" s="456">
        <f>G307/(100-BE307)*100</f>
        <v>0</v>
      </c>
      <c r="BE307" s="456">
        <v>0</v>
      </c>
      <c r="BF307" s="456">
        <f>307</f>
        <v>307</v>
      </c>
      <c r="BH307" s="456">
        <f>F307*AO307</f>
        <v>0</v>
      </c>
      <c r="BI307" s="456">
        <f>F307*AP307</f>
        <v>0</v>
      </c>
      <c r="BJ307" s="456">
        <f>F307*G307</f>
        <v>0</v>
      </c>
      <c r="BK307" s="456"/>
      <c r="BL307" s="456"/>
      <c r="BW307" s="456">
        <v>21</v>
      </c>
      <c r="BX307" s="459" t="s">
        <v>1320</v>
      </c>
    </row>
    <row r="308" spans="1:76" ht="13.5">
      <c r="A308" s="460"/>
      <c r="C308" s="461" t="s">
        <v>1452</v>
      </c>
      <c r="D308" s="461" t="s">
        <v>648</v>
      </c>
      <c r="F308" s="462">
        <v>2.97</v>
      </c>
      <c r="K308" s="463"/>
    </row>
    <row r="309" spans="1:76" ht="13.5">
      <c r="A309" s="454" t="s">
        <v>1074</v>
      </c>
      <c r="B309" s="455" t="s">
        <v>1054</v>
      </c>
      <c r="C309" s="428" t="s">
        <v>1055</v>
      </c>
      <c r="D309" s="424"/>
      <c r="E309" s="455" t="s">
        <v>10</v>
      </c>
      <c r="F309" s="456">
        <v>2.97</v>
      </c>
      <c r="G309" s="456">
        <v>0</v>
      </c>
      <c r="H309" s="456">
        <f>F309*AO309</f>
        <v>0</v>
      </c>
      <c r="I309" s="456">
        <f>F309*AP309</f>
        <v>0</v>
      </c>
      <c r="J309" s="456">
        <f>F309*G309</f>
        <v>0</v>
      </c>
      <c r="K309" s="457" t="s">
        <v>1410</v>
      </c>
      <c r="Z309" s="456">
        <f>IF(AQ309="5",BJ309,0)</f>
        <v>0</v>
      </c>
      <c r="AB309" s="456">
        <f>IF(AQ309="1",BH309,0)</f>
        <v>0</v>
      </c>
      <c r="AC309" s="456">
        <f>IF(AQ309="1",BI309,0)</f>
        <v>0</v>
      </c>
      <c r="AD309" s="456">
        <f>IF(AQ309="7",BH309,0)</f>
        <v>0</v>
      </c>
      <c r="AE309" s="456">
        <f>IF(AQ309="7",BI309,0)</f>
        <v>0</v>
      </c>
      <c r="AF309" s="456">
        <f>IF(AQ309="2",BH309,0)</f>
        <v>0</v>
      </c>
      <c r="AG309" s="456">
        <f>IF(AQ309="2",BI309,0)</f>
        <v>0</v>
      </c>
      <c r="AH309" s="456">
        <f>IF(AQ309="0",BJ309,0)</f>
        <v>0</v>
      </c>
      <c r="AI309" s="438" t="s">
        <v>648</v>
      </c>
      <c r="AJ309" s="456">
        <f>IF(AN309=0,J309,0)</f>
        <v>0</v>
      </c>
      <c r="AK309" s="456">
        <f>IF(AN309=12,J309,0)</f>
        <v>0</v>
      </c>
      <c r="AL309" s="456">
        <f>IF(AN309=21,J309,0)</f>
        <v>0</v>
      </c>
      <c r="AN309" s="456">
        <v>21</v>
      </c>
      <c r="AO309" s="456">
        <f>G309*0</f>
        <v>0</v>
      </c>
      <c r="AP309" s="456">
        <f>G309*(1-0)</f>
        <v>0</v>
      </c>
      <c r="AQ309" s="458" t="s">
        <v>673</v>
      </c>
      <c r="AV309" s="456">
        <f>AW309+AX309</f>
        <v>0</v>
      </c>
      <c r="AW309" s="456">
        <f>F309*AO309</f>
        <v>0</v>
      </c>
      <c r="AX309" s="456">
        <f>F309*AP309</f>
        <v>0</v>
      </c>
      <c r="AY309" s="458" t="s">
        <v>1050</v>
      </c>
      <c r="AZ309" s="458" t="s">
        <v>1015</v>
      </c>
      <c r="BA309" s="438" t="s">
        <v>656</v>
      </c>
      <c r="BC309" s="456">
        <f>AW309+AX309</f>
        <v>0</v>
      </c>
      <c r="BD309" s="456">
        <f>G309/(100-BE309)*100</f>
        <v>0</v>
      </c>
      <c r="BE309" s="456">
        <v>0</v>
      </c>
      <c r="BF309" s="456">
        <f>309</f>
        <v>309</v>
      </c>
      <c r="BH309" s="456">
        <f>F309*AO309</f>
        <v>0</v>
      </c>
      <c r="BI309" s="456">
        <f>F309*AP309</f>
        <v>0</v>
      </c>
      <c r="BJ309" s="456">
        <f>F309*G309</f>
        <v>0</v>
      </c>
      <c r="BK309" s="456"/>
      <c r="BL309" s="456"/>
      <c r="BW309" s="456">
        <v>21</v>
      </c>
      <c r="BX309" s="459" t="s">
        <v>1055</v>
      </c>
    </row>
    <row r="310" spans="1:76" ht="13.5">
      <c r="A310" s="460"/>
      <c r="C310" s="461" t="s">
        <v>1452</v>
      </c>
      <c r="D310" s="461" t="s">
        <v>648</v>
      </c>
      <c r="F310" s="462">
        <v>2.97</v>
      </c>
      <c r="K310" s="463"/>
    </row>
    <row r="311" spans="1:76" ht="13.5">
      <c r="A311" s="454" t="s">
        <v>1321</v>
      </c>
      <c r="B311" s="455" t="s">
        <v>1057</v>
      </c>
      <c r="C311" s="428" t="s">
        <v>1058</v>
      </c>
      <c r="D311" s="424"/>
      <c r="E311" s="455" t="s">
        <v>10</v>
      </c>
      <c r="F311" s="456">
        <v>56.43</v>
      </c>
      <c r="G311" s="456">
        <v>0</v>
      </c>
      <c r="H311" s="456">
        <f>F311*AO311</f>
        <v>0</v>
      </c>
      <c r="I311" s="456">
        <f>F311*AP311</f>
        <v>0</v>
      </c>
      <c r="J311" s="456">
        <f>F311*G311</f>
        <v>0</v>
      </c>
      <c r="K311" s="457" t="s">
        <v>1410</v>
      </c>
      <c r="Z311" s="456">
        <f>IF(AQ311="5",BJ311,0)</f>
        <v>0</v>
      </c>
      <c r="AB311" s="456">
        <f>IF(AQ311="1",BH311,0)</f>
        <v>0</v>
      </c>
      <c r="AC311" s="456">
        <f>IF(AQ311="1",BI311,0)</f>
        <v>0</v>
      </c>
      <c r="AD311" s="456">
        <f>IF(AQ311="7",BH311,0)</f>
        <v>0</v>
      </c>
      <c r="AE311" s="456">
        <f>IF(AQ311="7",BI311,0)</f>
        <v>0</v>
      </c>
      <c r="AF311" s="456">
        <f>IF(AQ311="2",BH311,0)</f>
        <v>0</v>
      </c>
      <c r="AG311" s="456">
        <f>IF(AQ311="2",BI311,0)</f>
        <v>0</v>
      </c>
      <c r="AH311" s="456">
        <f>IF(AQ311="0",BJ311,0)</f>
        <v>0</v>
      </c>
      <c r="AI311" s="438" t="s">
        <v>648</v>
      </c>
      <c r="AJ311" s="456">
        <f>IF(AN311=0,J311,0)</f>
        <v>0</v>
      </c>
      <c r="AK311" s="456">
        <f>IF(AN311=12,J311,0)</f>
        <v>0</v>
      </c>
      <c r="AL311" s="456">
        <f>IF(AN311=21,J311,0)</f>
        <v>0</v>
      </c>
      <c r="AN311" s="456">
        <v>21</v>
      </c>
      <c r="AO311" s="456">
        <f>G311*0</f>
        <v>0</v>
      </c>
      <c r="AP311" s="456">
        <f>G311*(1-0)</f>
        <v>0</v>
      </c>
      <c r="AQ311" s="458" t="s">
        <v>673</v>
      </c>
      <c r="AV311" s="456">
        <f>AW311+AX311</f>
        <v>0</v>
      </c>
      <c r="AW311" s="456">
        <f>F311*AO311</f>
        <v>0</v>
      </c>
      <c r="AX311" s="456">
        <f>F311*AP311</f>
        <v>0</v>
      </c>
      <c r="AY311" s="458" t="s">
        <v>1050</v>
      </c>
      <c r="AZ311" s="458" t="s">
        <v>1015</v>
      </c>
      <c r="BA311" s="438" t="s">
        <v>656</v>
      </c>
      <c r="BC311" s="456">
        <f>AW311+AX311</f>
        <v>0</v>
      </c>
      <c r="BD311" s="456">
        <f>G311/(100-BE311)*100</f>
        <v>0</v>
      </c>
      <c r="BE311" s="456">
        <v>0</v>
      </c>
      <c r="BF311" s="456">
        <f>311</f>
        <v>311</v>
      </c>
      <c r="BH311" s="456">
        <f>F311*AO311</f>
        <v>0</v>
      </c>
      <c r="BI311" s="456">
        <f>F311*AP311</f>
        <v>0</v>
      </c>
      <c r="BJ311" s="456">
        <f>F311*G311</f>
        <v>0</v>
      </c>
      <c r="BK311" s="456"/>
      <c r="BL311" s="456"/>
      <c r="BW311" s="456">
        <v>21</v>
      </c>
      <c r="BX311" s="459" t="s">
        <v>1058</v>
      </c>
    </row>
    <row r="312" spans="1:76" ht="13.5">
      <c r="A312" s="460"/>
      <c r="C312" s="461" t="s">
        <v>1453</v>
      </c>
      <c r="D312" s="461" t="s">
        <v>648</v>
      </c>
      <c r="F312" s="462">
        <v>56.43</v>
      </c>
      <c r="K312" s="463"/>
    </row>
    <row r="313" spans="1:76" ht="13.5">
      <c r="A313" s="454" t="s">
        <v>1322</v>
      </c>
      <c r="B313" s="455" t="s">
        <v>1454</v>
      </c>
      <c r="C313" s="428" t="s">
        <v>1455</v>
      </c>
      <c r="D313" s="424"/>
      <c r="E313" s="455" t="s">
        <v>10</v>
      </c>
      <c r="F313" s="456">
        <v>0.99</v>
      </c>
      <c r="G313" s="456">
        <v>0</v>
      </c>
      <c r="H313" s="456">
        <f>F313*AO313</f>
        <v>0</v>
      </c>
      <c r="I313" s="456">
        <f>F313*AP313</f>
        <v>0</v>
      </c>
      <c r="J313" s="456">
        <f>F313*G313</f>
        <v>0</v>
      </c>
      <c r="K313" s="457" t="s">
        <v>1410</v>
      </c>
      <c r="Z313" s="456">
        <f>IF(AQ313="5",BJ313,0)</f>
        <v>0</v>
      </c>
      <c r="AB313" s="456">
        <f>IF(AQ313="1",BH313,0)</f>
        <v>0</v>
      </c>
      <c r="AC313" s="456">
        <f>IF(AQ313="1",BI313,0)</f>
        <v>0</v>
      </c>
      <c r="AD313" s="456">
        <f>IF(AQ313="7",BH313,0)</f>
        <v>0</v>
      </c>
      <c r="AE313" s="456">
        <f>IF(AQ313="7",BI313,0)</f>
        <v>0</v>
      </c>
      <c r="AF313" s="456">
        <f>IF(AQ313="2",BH313,0)</f>
        <v>0</v>
      </c>
      <c r="AG313" s="456">
        <f>IF(AQ313="2",BI313,0)</f>
        <v>0</v>
      </c>
      <c r="AH313" s="456">
        <f>IF(AQ313="0",BJ313,0)</f>
        <v>0</v>
      </c>
      <c r="AI313" s="438" t="s">
        <v>648</v>
      </c>
      <c r="AJ313" s="456">
        <f>IF(AN313=0,J313,0)</f>
        <v>0</v>
      </c>
      <c r="AK313" s="456">
        <f>IF(AN313=12,J313,0)</f>
        <v>0</v>
      </c>
      <c r="AL313" s="456">
        <f>IF(AN313=21,J313,0)</f>
        <v>0</v>
      </c>
      <c r="AN313" s="456">
        <v>21</v>
      </c>
      <c r="AO313" s="456">
        <f>G313*0</f>
        <v>0</v>
      </c>
      <c r="AP313" s="456">
        <f>G313*(1-0)</f>
        <v>0</v>
      </c>
      <c r="AQ313" s="458" t="s">
        <v>673</v>
      </c>
      <c r="AV313" s="456">
        <f>AW313+AX313</f>
        <v>0</v>
      </c>
      <c r="AW313" s="456">
        <f>F313*AO313</f>
        <v>0</v>
      </c>
      <c r="AX313" s="456">
        <f>F313*AP313</f>
        <v>0</v>
      </c>
      <c r="AY313" s="458" t="s">
        <v>1050</v>
      </c>
      <c r="AZ313" s="458" t="s">
        <v>1015</v>
      </c>
      <c r="BA313" s="438" t="s">
        <v>656</v>
      </c>
      <c r="BC313" s="456">
        <f>AW313+AX313</f>
        <v>0</v>
      </c>
      <c r="BD313" s="456">
        <f>G313/(100-BE313)*100</f>
        <v>0</v>
      </c>
      <c r="BE313" s="456">
        <v>0</v>
      </c>
      <c r="BF313" s="456">
        <f>313</f>
        <v>313</v>
      </c>
      <c r="BH313" s="456">
        <f>F313*AO313</f>
        <v>0</v>
      </c>
      <c r="BI313" s="456">
        <f>F313*AP313</f>
        <v>0</v>
      </c>
      <c r="BJ313" s="456">
        <f>F313*G313</f>
        <v>0</v>
      </c>
      <c r="BK313" s="456"/>
      <c r="BL313" s="456"/>
      <c r="BW313" s="456">
        <v>21</v>
      </c>
      <c r="BX313" s="459" t="s">
        <v>1455</v>
      </c>
    </row>
    <row r="314" spans="1:76" ht="13.5">
      <c r="A314" s="460"/>
      <c r="C314" s="461" t="s">
        <v>1456</v>
      </c>
      <c r="D314" s="461" t="s">
        <v>648</v>
      </c>
      <c r="F314" s="462">
        <v>0.99</v>
      </c>
      <c r="K314" s="463"/>
    </row>
    <row r="315" spans="1:76" ht="13.5">
      <c r="A315" s="454" t="s">
        <v>1323</v>
      </c>
      <c r="B315" s="455" t="s">
        <v>1457</v>
      </c>
      <c r="C315" s="428" t="s">
        <v>1458</v>
      </c>
      <c r="D315" s="424"/>
      <c r="E315" s="455" t="s">
        <v>10</v>
      </c>
      <c r="F315" s="456">
        <v>1.98</v>
      </c>
      <c r="G315" s="456">
        <v>0</v>
      </c>
      <c r="H315" s="456">
        <f>F315*AO315</f>
        <v>0</v>
      </c>
      <c r="I315" s="456">
        <f>F315*AP315</f>
        <v>0</v>
      </c>
      <c r="J315" s="456">
        <f>F315*G315</f>
        <v>0</v>
      </c>
      <c r="K315" s="457" t="s">
        <v>1410</v>
      </c>
      <c r="Z315" s="456">
        <f>IF(AQ315="5",BJ315,0)</f>
        <v>0</v>
      </c>
      <c r="AB315" s="456">
        <f>IF(AQ315="1",BH315,0)</f>
        <v>0</v>
      </c>
      <c r="AC315" s="456">
        <f>IF(AQ315="1",BI315,0)</f>
        <v>0</v>
      </c>
      <c r="AD315" s="456">
        <f>IF(AQ315="7",BH315,0)</f>
        <v>0</v>
      </c>
      <c r="AE315" s="456">
        <f>IF(AQ315="7",BI315,0)</f>
        <v>0</v>
      </c>
      <c r="AF315" s="456">
        <f>IF(AQ315="2",BH315,0)</f>
        <v>0</v>
      </c>
      <c r="AG315" s="456">
        <f>IF(AQ315="2",BI315,0)</f>
        <v>0</v>
      </c>
      <c r="AH315" s="456">
        <f>IF(AQ315="0",BJ315,0)</f>
        <v>0</v>
      </c>
      <c r="AI315" s="438" t="s">
        <v>648</v>
      </c>
      <c r="AJ315" s="456">
        <f>IF(AN315=0,J315,0)</f>
        <v>0</v>
      </c>
      <c r="AK315" s="456">
        <f>IF(AN315=12,J315,0)</f>
        <v>0</v>
      </c>
      <c r="AL315" s="456">
        <f>IF(AN315=21,J315,0)</f>
        <v>0</v>
      </c>
      <c r="AN315" s="456">
        <v>21</v>
      </c>
      <c r="AO315" s="456">
        <f>G315*0</f>
        <v>0</v>
      </c>
      <c r="AP315" s="456">
        <f>G315*(1-0)</f>
        <v>0</v>
      </c>
      <c r="AQ315" s="458" t="s">
        <v>673</v>
      </c>
      <c r="AV315" s="456">
        <f>AW315+AX315</f>
        <v>0</v>
      </c>
      <c r="AW315" s="456">
        <f>F315*AO315</f>
        <v>0</v>
      </c>
      <c r="AX315" s="456">
        <f>F315*AP315</f>
        <v>0</v>
      </c>
      <c r="AY315" s="458" t="s">
        <v>1050</v>
      </c>
      <c r="AZ315" s="458" t="s">
        <v>1015</v>
      </c>
      <c r="BA315" s="438" t="s">
        <v>656</v>
      </c>
      <c r="BC315" s="456">
        <f>AW315+AX315</f>
        <v>0</v>
      </c>
      <c r="BD315" s="456">
        <f>G315/(100-BE315)*100</f>
        <v>0</v>
      </c>
      <c r="BE315" s="456">
        <v>0</v>
      </c>
      <c r="BF315" s="456">
        <f>315</f>
        <v>315</v>
      </c>
      <c r="BH315" s="456">
        <f>F315*AO315</f>
        <v>0</v>
      </c>
      <c r="BI315" s="456">
        <f>F315*AP315</f>
        <v>0</v>
      </c>
      <c r="BJ315" s="456">
        <f>F315*G315</f>
        <v>0</v>
      </c>
      <c r="BK315" s="456"/>
      <c r="BL315" s="456"/>
      <c r="BW315" s="456">
        <v>21</v>
      </c>
      <c r="BX315" s="459" t="s">
        <v>1458</v>
      </c>
    </row>
    <row r="316" spans="1:76" ht="13.5">
      <c r="A316" s="460"/>
      <c r="C316" s="461" t="s">
        <v>1459</v>
      </c>
      <c r="D316" s="461" t="s">
        <v>648</v>
      </c>
      <c r="F316" s="462">
        <v>1.98</v>
      </c>
      <c r="K316" s="463"/>
    </row>
    <row r="317" spans="1:76" ht="13.5">
      <c r="A317" s="454" t="s">
        <v>1460</v>
      </c>
      <c r="B317" s="455" t="s">
        <v>1052</v>
      </c>
      <c r="C317" s="428" t="s">
        <v>1461</v>
      </c>
      <c r="D317" s="424"/>
      <c r="E317" s="455" t="s">
        <v>10</v>
      </c>
      <c r="F317" s="456">
        <v>0.73899999999999999</v>
      </c>
      <c r="G317" s="456">
        <v>0</v>
      </c>
      <c r="H317" s="456">
        <f>F317*AO317</f>
        <v>0</v>
      </c>
      <c r="I317" s="456">
        <f>F317*AP317</f>
        <v>0</v>
      </c>
      <c r="J317" s="456">
        <f>F317*G317</f>
        <v>0</v>
      </c>
      <c r="K317" s="457" t="s">
        <v>1410</v>
      </c>
      <c r="Z317" s="456">
        <f>IF(AQ317="5",BJ317,0)</f>
        <v>0</v>
      </c>
      <c r="AB317" s="456">
        <f>IF(AQ317="1",BH317,0)</f>
        <v>0</v>
      </c>
      <c r="AC317" s="456">
        <f>IF(AQ317="1",BI317,0)</f>
        <v>0</v>
      </c>
      <c r="AD317" s="456">
        <f>IF(AQ317="7",BH317,0)</f>
        <v>0</v>
      </c>
      <c r="AE317" s="456">
        <f>IF(AQ317="7",BI317,0)</f>
        <v>0</v>
      </c>
      <c r="AF317" s="456">
        <f>IF(AQ317="2",BH317,0)</f>
        <v>0</v>
      </c>
      <c r="AG317" s="456">
        <f>IF(AQ317="2",BI317,0)</f>
        <v>0</v>
      </c>
      <c r="AH317" s="456">
        <f>IF(AQ317="0",BJ317,0)</f>
        <v>0</v>
      </c>
      <c r="AI317" s="438" t="s">
        <v>648</v>
      </c>
      <c r="AJ317" s="456">
        <f>IF(AN317=0,J317,0)</f>
        <v>0</v>
      </c>
      <c r="AK317" s="456">
        <f>IF(AN317=12,J317,0)</f>
        <v>0</v>
      </c>
      <c r="AL317" s="456">
        <f>IF(AN317=21,J317,0)</f>
        <v>0</v>
      </c>
      <c r="AN317" s="456">
        <v>21</v>
      </c>
      <c r="AO317" s="456">
        <f>G317*0</f>
        <v>0</v>
      </c>
      <c r="AP317" s="456">
        <f>G317*(1-0)</f>
        <v>0</v>
      </c>
      <c r="AQ317" s="458" t="s">
        <v>673</v>
      </c>
      <c r="AV317" s="456">
        <f>AW317+AX317</f>
        <v>0</v>
      </c>
      <c r="AW317" s="456">
        <f>F317*AO317</f>
        <v>0</v>
      </c>
      <c r="AX317" s="456">
        <f>F317*AP317</f>
        <v>0</v>
      </c>
      <c r="AY317" s="458" t="s">
        <v>1050</v>
      </c>
      <c r="AZ317" s="458" t="s">
        <v>1015</v>
      </c>
      <c r="BA317" s="438" t="s">
        <v>656</v>
      </c>
      <c r="BC317" s="456">
        <f>AW317+AX317</f>
        <v>0</v>
      </c>
      <c r="BD317" s="456">
        <f>G317/(100-BE317)*100</f>
        <v>0</v>
      </c>
      <c r="BE317" s="456">
        <v>0</v>
      </c>
      <c r="BF317" s="456">
        <f>317</f>
        <v>317</v>
      </c>
      <c r="BH317" s="456">
        <f>F317*AO317</f>
        <v>0</v>
      </c>
      <c r="BI317" s="456">
        <f>F317*AP317</f>
        <v>0</v>
      </c>
      <c r="BJ317" s="456">
        <f>F317*G317</f>
        <v>0</v>
      </c>
      <c r="BK317" s="456"/>
      <c r="BL317" s="456"/>
      <c r="BW317" s="456">
        <v>21</v>
      </c>
      <c r="BX317" s="459" t="s">
        <v>1461</v>
      </c>
    </row>
    <row r="318" spans="1:76" ht="13.5">
      <c r="A318" s="460"/>
      <c r="C318" s="461" t="s">
        <v>1462</v>
      </c>
      <c r="D318" s="461" t="s">
        <v>648</v>
      </c>
      <c r="F318" s="462">
        <v>0.73899999999999999</v>
      </c>
      <c r="K318" s="463"/>
    </row>
    <row r="319" spans="1:76" ht="13.5">
      <c r="A319" s="454" t="s">
        <v>1463</v>
      </c>
      <c r="B319" s="455" t="s">
        <v>1464</v>
      </c>
      <c r="C319" s="428" t="s">
        <v>1465</v>
      </c>
      <c r="D319" s="424"/>
      <c r="E319" s="455" t="s">
        <v>10</v>
      </c>
      <c r="F319" s="456">
        <v>0.73899999999999999</v>
      </c>
      <c r="G319" s="456">
        <v>0</v>
      </c>
      <c r="H319" s="456">
        <f>F319*AO319</f>
        <v>0</v>
      </c>
      <c r="I319" s="456">
        <f>F319*AP319</f>
        <v>0</v>
      </c>
      <c r="J319" s="456">
        <f>F319*G319</f>
        <v>0</v>
      </c>
      <c r="K319" s="457" t="s">
        <v>1410</v>
      </c>
      <c r="Z319" s="456">
        <f>IF(AQ319="5",BJ319,0)</f>
        <v>0</v>
      </c>
      <c r="AB319" s="456">
        <f>IF(AQ319="1",BH319,0)</f>
        <v>0</v>
      </c>
      <c r="AC319" s="456">
        <f>IF(AQ319="1",BI319,0)</f>
        <v>0</v>
      </c>
      <c r="AD319" s="456">
        <f>IF(AQ319="7",BH319,0)</f>
        <v>0</v>
      </c>
      <c r="AE319" s="456">
        <f>IF(AQ319="7",BI319,0)</f>
        <v>0</v>
      </c>
      <c r="AF319" s="456">
        <f>IF(AQ319="2",BH319,0)</f>
        <v>0</v>
      </c>
      <c r="AG319" s="456">
        <f>IF(AQ319="2",BI319,0)</f>
        <v>0</v>
      </c>
      <c r="AH319" s="456">
        <f>IF(AQ319="0",BJ319,0)</f>
        <v>0</v>
      </c>
      <c r="AI319" s="438" t="s">
        <v>648</v>
      </c>
      <c r="AJ319" s="456">
        <f>IF(AN319=0,J319,0)</f>
        <v>0</v>
      </c>
      <c r="AK319" s="456">
        <f>IF(AN319=12,J319,0)</f>
        <v>0</v>
      </c>
      <c r="AL319" s="456">
        <f>IF(AN319=21,J319,0)</f>
        <v>0</v>
      </c>
      <c r="AN319" s="456">
        <v>21</v>
      </c>
      <c r="AO319" s="456">
        <f>G319*0</f>
        <v>0</v>
      </c>
      <c r="AP319" s="456">
        <f>G319*(1-0)</f>
        <v>0</v>
      </c>
      <c r="AQ319" s="458" t="s">
        <v>673</v>
      </c>
      <c r="AV319" s="456">
        <f>AW319+AX319</f>
        <v>0</v>
      </c>
      <c r="AW319" s="456">
        <f>F319*AO319</f>
        <v>0</v>
      </c>
      <c r="AX319" s="456">
        <f>F319*AP319</f>
        <v>0</v>
      </c>
      <c r="AY319" s="458" t="s">
        <v>1050</v>
      </c>
      <c r="AZ319" s="458" t="s">
        <v>1015</v>
      </c>
      <c r="BA319" s="438" t="s">
        <v>656</v>
      </c>
      <c r="BC319" s="456">
        <f>AW319+AX319</f>
        <v>0</v>
      </c>
      <c r="BD319" s="456">
        <f>G319/(100-BE319)*100</f>
        <v>0</v>
      </c>
      <c r="BE319" s="456">
        <v>0</v>
      </c>
      <c r="BF319" s="456">
        <f>319</f>
        <v>319</v>
      </c>
      <c r="BH319" s="456">
        <f>F319*AO319</f>
        <v>0</v>
      </c>
      <c r="BI319" s="456">
        <f>F319*AP319</f>
        <v>0</v>
      </c>
      <c r="BJ319" s="456">
        <f>F319*G319</f>
        <v>0</v>
      </c>
      <c r="BK319" s="456"/>
      <c r="BL319" s="456"/>
      <c r="BW319" s="456">
        <v>21</v>
      </c>
      <c r="BX319" s="459" t="s">
        <v>1465</v>
      </c>
    </row>
    <row r="320" spans="1:76" ht="13.5">
      <c r="A320" s="460"/>
      <c r="C320" s="461" t="s">
        <v>1466</v>
      </c>
      <c r="D320" s="461" t="s">
        <v>648</v>
      </c>
      <c r="F320" s="462">
        <v>0.73899999999999999</v>
      </c>
      <c r="K320" s="463"/>
    </row>
    <row r="321" spans="1:76" ht="13.5">
      <c r="A321" s="448" t="s">
        <v>648</v>
      </c>
      <c r="B321" s="449" t="s">
        <v>1061</v>
      </c>
      <c r="C321" s="450" t="s">
        <v>1062</v>
      </c>
      <c r="D321" s="451"/>
      <c r="E321" s="452" t="s">
        <v>607</v>
      </c>
      <c r="F321" s="452" t="s">
        <v>607</v>
      </c>
      <c r="G321" s="452" t="s">
        <v>607</v>
      </c>
      <c r="H321" s="416">
        <f>SUM(H322:H324)</f>
        <v>0</v>
      </c>
      <c r="I321" s="416">
        <f>SUM(I322:I324)</f>
        <v>0</v>
      </c>
      <c r="J321" s="416">
        <f>SUM(J322:J324)</f>
        <v>0</v>
      </c>
      <c r="K321" s="453" t="s">
        <v>648</v>
      </c>
      <c r="AI321" s="438" t="s">
        <v>648</v>
      </c>
      <c r="AS321" s="416">
        <f>SUM(AJ322:AJ324)</f>
        <v>0</v>
      </c>
      <c r="AT321" s="416">
        <f>SUM(AK322:AK324)</f>
        <v>0</v>
      </c>
      <c r="AU321" s="416">
        <f>SUM(AL322:AL324)</f>
        <v>0</v>
      </c>
    </row>
    <row r="322" spans="1:76" ht="13.5">
      <c r="A322" s="454" t="s">
        <v>1467</v>
      </c>
      <c r="B322" s="455" t="s">
        <v>1064</v>
      </c>
      <c r="C322" s="428" t="s">
        <v>1065</v>
      </c>
      <c r="D322" s="424"/>
      <c r="E322" s="455" t="s">
        <v>1066</v>
      </c>
      <c r="F322" s="456">
        <v>3.25</v>
      </c>
      <c r="G322" s="456">
        <v>0</v>
      </c>
      <c r="H322" s="456">
        <f>F322*AO322</f>
        <v>0</v>
      </c>
      <c r="I322" s="456">
        <f>F322*AP322</f>
        <v>0</v>
      </c>
      <c r="J322" s="456">
        <f>F322*G322</f>
        <v>0</v>
      </c>
      <c r="K322" s="457" t="s">
        <v>648</v>
      </c>
      <c r="Z322" s="456">
        <f>IF(AQ322="5",BJ322,0)</f>
        <v>0</v>
      </c>
      <c r="AB322" s="456">
        <f>IF(AQ322="1",BH322,0)</f>
        <v>0</v>
      </c>
      <c r="AC322" s="456">
        <f>IF(AQ322="1",BI322,0)</f>
        <v>0</v>
      </c>
      <c r="AD322" s="456">
        <f>IF(AQ322="7",BH322,0)</f>
        <v>0</v>
      </c>
      <c r="AE322" s="456">
        <f>IF(AQ322="7",BI322,0)</f>
        <v>0</v>
      </c>
      <c r="AF322" s="456">
        <f>IF(AQ322="2",BH322,0)</f>
        <v>0</v>
      </c>
      <c r="AG322" s="456">
        <f>IF(AQ322="2",BI322,0)</f>
        <v>0</v>
      </c>
      <c r="AH322" s="456">
        <f>IF(AQ322="0",BJ322,0)</f>
        <v>0</v>
      </c>
      <c r="AI322" s="438" t="s">
        <v>648</v>
      </c>
      <c r="AJ322" s="456">
        <f>IF(AN322=0,J322,0)</f>
        <v>0</v>
      </c>
      <c r="AK322" s="456">
        <f>IF(AN322=12,J322,0)</f>
        <v>0</v>
      </c>
      <c r="AL322" s="456">
        <f>IF(AN322=21,J322,0)</f>
        <v>0</v>
      </c>
      <c r="AN322" s="456">
        <v>21</v>
      </c>
      <c r="AO322" s="456">
        <f>G322*0</f>
        <v>0</v>
      </c>
      <c r="AP322" s="456">
        <f>G322*(1-0)</f>
        <v>0</v>
      </c>
      <c r="AQ322" s="458" t="s">
        <v>651</v>
      </c>
      <c r="AV322" s="456">
        <f>AW322+AX322</f>
        <v>0</v>
      </c>
      <c r="AW322" s="456">
        <f>F322*AO322</f>
        <v>0</v>
      </c>
      <c r="AX322" s="456">
        <f>F322*AP322</f>
        <v>0</v>
      </c>
      <c r="AY322" s="458" t="s">
        <v>1067</v>
      </c>
      <c r="AZ322" s="458" t="s">
        <v>655</v>
      </c>
      <c r="BA322" s="438" t="s">
        <v>656</v>
      </c>
      <c r="BC322" s="456">
        <f>AW322+AX322</f>
        <v>0</v>
      </c>
      <c r="BD322" s="456">
        <f>G322/(100-BE322)*100</f>
        <v>0</v>
      </c>
      <c r="BE322" s="456">
        <v>0</v>
      </c>
      <c r="BF322" s="456">
        <f>322</f>
        <v>322</v>
      </c>
      <c r="BH322" s="456">
        <f>F322*AO322</f>
        <v>0</v>
      </c>
      <c r="BI322" s="456">
        <f>F322*AP322</f>
        <v>0</v>
      </c>
      <c r="BJ322" s="456">
        <f>F322*G322</f>
        <v>0</v>
      </c>
      <c r="BK322" s="456"/>
      <c r="BL322" s="456"/>
      <c r="BW322" s="456">
        <v>21</v>
      </c>
      <c r="BX322" s="459" t="s">
        <v>1065</v>
      </c>
    </row>
    <row r="323" spans="1:76" ht="13.5">
      <c r="A323" s="454" t="s">
        <v>1468</v>
      </c>
      <c r="B323" s="455" t="s">
        <v>1069</v>
      </c>
      <c r="C323" s="428" t="s">
        <v>1070</v>
      </c>
      <c r="D323" s="424"/>
      <c r="E323" s="455" t="s">
        <v>1066</v>
      </c>
      <c r="F323" s="456">
        <v>2.35</v>
      </c>
      <c r="G323" s="456">
        <v>0</v>
      </c>
      <c r="H323" s="456">
        <f>F323*AO323</f>
        <v>0</v>
      </c>
      <c r="I323" s="456">
        <f>F323*AP323</f>
        <v>0</v>
      </c>
      <c r="J323" s="456">
        <f>F323*G323</f>
        <v>0</v>
      </c>
      <c r="K323" s="457" t="s">
        <v>648</v>
      </c>
      <c r="Z323" s="456">
        <f>IF(AQ323="5",BJ323,0)</f>
        <v>0</v>
      </c>
      <c r="AB323" s="456">
        <f>IF(AQ323="1",BH323,0)</f>
        <v>0</v>
      </c>
      <c r="AC323" s="456">
        <f>IF(AQ323="1",BI323,0)</f>
        <v>0</v>
      </c>
      <c r="AD323" s="456">
        <f>IF(AQ323="7",BH323,0)</f>
        <v>0</v>
      </c>
      <c r="AE323" s="456">
        <f>IF(AQ323="7",BI323,0)</f>
        <v>0</v>
      </c>
      <c r="AF323" s="456">
        <f>IF(AQ323="2",BH323,0)</f>
        <v>0</v>
      </c>
      <c r="AG323" s="456">
        <f>IF(AQ323="2",BI323,0)</f>
        <v>0</v>
      </c>
      <c r="AH323" s="456">
        <f>IF(AQ323="0",BJ323,0)</f>
        <v>0</v>
      </c>
      <c r="AI323" s="438" t="s">
        <v>648</v>
      </c>
      <c r="AJ323" s="456">
        <f>IF(AN323=0,J323,0)</f>
        <v>0</v>
      </c>
      <c r="AK323" s="456">
        <f>IF(AN323=12,J323,0)</f>
        <v>0</v>
      </c>
      <c r="AL323" s="456">
        <f>IF(AN323=21,J323,0)</f>
        <v>0</v>
      </c>
      <c r="AN323" s="456">
        <v>21</v>
      </c>
      <c r="AO323" s="456">
        <f>G323*0</f>
        <v>0</v>
      </c>
      <c r="AP323" s="456">
        <f>G323*(1-0)</f>
        <v>0</v>
      </c>
      <c r="AQ323" s="458" t="s">
        <v>651</v>
      </c>
      <c r="AV323" s="456">
        <f>AW323+AX323</f>
        <v>0</v>
      </c>
      <c r="AW323" s="456">
        <f>F323*AO323</f>
        <v>0</v>
      </c>
      <c r="AX323" s="456">
        <f>F323*AP323</f>
        <v>0</v>
      </c>
      <c r="AY323" s="458" t="s">
        <v>1067</v>
      </c>
      <c r="AZ323" s="458" t="s">
        <v>655</v>
      </c>
      <c r="BA323" s="438" t="s">
        <v>656</v>
      </c>
      <c r="BC323" s="456">
        <f>AW323+AX323</f>
        <v>0</v>
      </c>
      <c r="BD323" s="456">
        <f>G323/(100-BE323)*100</f>
        <v>0</v>
      </c>
      <c r="BE323" s="456">
        <v>0</v>
      </c>
      <c r="BF323" s="456">
        <f>323</f>
        <v>323</v>
      </c>
      <c r="BH323" s="456">
        <f>F323*AO323</f>
        <v>0</v>
      </c>
      <c r="BI323" s="456">
        <f>F323*AP323</f>
        <v>0</v>
      </c>
      <c r="BJ323" s="456">
        <f>F323*G323</f>
        <v>0</v>
      </c>
      <c r="BK323" s="456"/>
      <c r="BL323" s="456"/>
      <c r="BW323" s="456">
        <v>21</v>
      </c>
      <c r="BX323" s="459" t="s">
        <v>1070</v>
      </c>
    </row>
    <row r="324" spans="1:76" ht="13.5">
      <c r="A324" s="464" t="s">
        <v>1469</v>
      </c>
      <c r="B324" s="465" t="s">
        <v>1072</v>
      </c>
      <c r="C324" s="466" t="s">
        <v>1073</v>
      </c>
      <c r="D324" s="467"/>
      <c r="E324" s="465" t="s">
        <v>1066</v>
      </c>
      <c r="F324" s="468">
        <v>1.6</v>
      </c>
      <c r="G324" s="468">
        <v>0</v>
      </c>
      <c r="H324" s="468">
        <f>F324*AO324</f>
        <v>0</v>
      </c>
      <c r="I324" s="468">
        <f>F324*AP324</f>
        <v>0</v>
      </c>
      <c r="J324" s="468">
        <f>F324*G324</f>
        <v>0</v>
      </c>
      <c r="K324" s="469" t="s">
        <v>648</v>
      </c>
      <c r="Z324" s="456">
        <f>IF(AQ324="5",BJ324,0)</f>
        <v>0</v>
      </c>
      <c r="AB324" s="456">
        <f>IF(AQ324="1",BH324,0)</f>
        <v>0</v>
      </c>
      <c r="AC324" s="456">
        <f>IF(AQ324="1",BI324,0)</f>
        <v>0</v>
      </c>
      <c r="AD324" s="456">
        <f>IF(AQ324="7",BH324,0)</f>
        <v>0</v>
      </c>
      <c r="AE324" s="456">
        <f>IF(AQ324="7",BI324,0)</f>
        <v>0</v>
      </c>
      <c r="AF324" s="456">
        <f>IF(AQ324="2",BH324,0)</f>
        <v>0</v>
      </c>
      <c r="AG324" s="456">
        <f>IF(AQ324="2",BI324,0)</f>
        <v>0</v>
      </c>
      <c r="AH324" s="456">
        <f>IF(AQ324="0",BJ324,0)</f>
        <v>0</v>
      </c>
      <c r="AI324" s="438" t="s">
        <v>648</v>
      </c>
      <c r="AJ324" s="456">
        <f>IF(AN324=0,J324,0)</f>
        <v>0</v>
      </c>
      <c r="AK324" s="456">
        <f>IF(AN324=12,J324,0)</f>
        <v>0</v>
      </c>
      <c r="AL324" s="456">
        <f>IF(AN324=21,J324,0)</f>
        <v>0</v>
      </c>
      <c r="AN324" s="456">
        <v>21</v>
      </c>
      <c r="AO324" s="456">
        <f>G324*0</f>
        <v>0</v>
      </c>
      <c r="AP324" s="456">
        <f>G324*(1-0)</f>
        <v>0</v>
      </c>
      <c r="AQ324" s="458" t="s">
        <v>651</v>
      </c>
      <c r="AV324" s="456">
        <f>AW324+AX324</f>
        <v>0</v>
      </c>
      <c r="AW324" s="456">
        <f>F324*AO324</f>
        <v>0</v>
      </c>
      <c r="AX324" s="456">
        <f>F324*AP324</f>
        <v>0</v>
      </c>
      <c r="AY324" s="458" t="s">
        <v>1067</v>
      </c>
      <c r="AZ324" s="458" t="s">
        <v>655</v>
      </c>
      <c r="BA324" s="438" t="s">
        <v>656</v>
      </c>
      <c r="BC324" s="456">
        <f>AW324+AX324</f>
        <v>0</v>
      </c>
      <c r="BD324" s="456">
        <f>G324/(100-BE324)*100</f>
        <v>0</v>
      </c>
      <c r="BE324" s="456">
        <v>0</v>
      </c>
      <c r="BF324" s="456">
        <f>324</f>
        <v>324</v>
      </c>
      <c r="BH324" s="456">
        <f>F324*AO324</f>
        <v>0</v>
      </c>
      <c r="BI324" s="456">
        <f>F324*AP324</f>
        <v>0</v>
      </c>
      <c r="BJ324" s="456">
        <f>F324*G324</f>
        <v>0</v>
      </c>
      <c r="BK324" s="456"/>
      <c r="BL324" s="456"/>
      <c r="BW324" s="456">
        <v>21</v>
      </c>
      <c r="BX324" s="459" t="s">
        <v>1073</v>
      </c>
    </row>
    <row r="325" spans="1:76" ht="13.5">
      <c r="H325" s="425" t="s">
        <v>1075</v>
      </c>
      <c r="I325" s="425"/>
      <c r="J325" s="470">
        <f>J12+J17+J26+J43+J58+J83+J104+J124+J127+J136+J141+J146+J149+J158+J161+J165+J168+J184+J189+J202+J209+J244+J262+J267+J274+J277+J281+J288+J291+J294+J297+J303+J306+J321</f>
        <v>0</v>
      </c>
    </row>
    <row r="326" spans="1:76" ht="13.5">
      <c r="A326" s="471" t="s">
        <v>99</v>
      </c>
    </row>
    <row r="327" spans="1:76" ht="12.75" customHeight="1">
      <c r="A327" s="428" t="s">
        <v>648</v>
      </c>
      <c r="B327" s="424"/>
      <c r="C327" s="424"/>
      <c r="D327" s="424"/>
      <c r="E327" s="424"/>
      <c r="F327" s="424"/>
      <c r="G327" s="424"/>
      <c r="H327" s="424"/>
      <c r="I327" s="424"/>
      <c r="J327" s="424"/>
      <c r="K327" s="424"/>
    </row>
  </sheetData>
  <mergeCells count="181">
    <mergeCell ref="C324:D324"/>
    <mergeCell ref="H325:I325"/>
    <mergeCell ref="A327:K327"/>
    <mergeCell ref="C309:D309"/>
    <mergeCell ref="C311:D311"/>
    <mergeCell ref="C313:D313"/>
    <mergeCell ref="C315:D315"/>
    <mergeCell ref="C317:D317"/>
    <mergeCell ref="C319:D319"/>
    <mergeCell ref="C321:D321"/>
    <mergeCell ref="C322:D322"/>
    <mergeCell ref="C323:D323"/>
    <mergeCell ref="C295:D295"/>
    <mergeCell ref="C297:D297"/>
    <mergeCell ref="C298:D298"/>
    <mergeCell ref="C301:D301"/>
    <mergeCell ref="C302:D302"/>
    <mergeCell ref="C303:D303"/>
    <mergeCell ref="C304:D304"/>
    <mergeCell ref="C306:D306"/>
    <mergeCell ref="C307:D307"/>
    <mergeCell ref="C233:D233"/>
    <mergeCell ref="C234:D234"/>
    <mergeCell ref="C237:D237"/>
    <mergeCell ref="C238:D238"/>
    <mergeCell ref="C239:D239"/>
    <mergeCell ref="C242:D242"/>
    <mergeCell ref="C243:D243"/>
    <mergeCell ref="C244:D244"/>
    <mergeCell ref="C245:D245"/>
    <mergeCell ref="C165:D165"/>
    <mergeCell ref="C166:D166"/>
    <mergeCell ref="C168:D168"/>
    <mergeCell ref="C169:D169"/>
    <mergeCell ref="C173:D173"/>
    <mergeCell ref="C176:D176"/>
    <mergeCell ref="C179:D179"/>
    <mergeCell ref="C181:D181"/>
    <mergeCell ref="C184:D184"/>
    <mergeCell ref="H2:H3"/>
    <mergeCell ref="A1:K1"/>
    <mergeCell ref="A2:B3"/>
    <mergeCell ref="C2:D3"/>
    <mergeCell ref="E2:F3"/>
    <mergeCell ref="G2:G3"/>
    <mergeCell ref="I2:K3"/>
    <mergeCell ref="H6:H7"/>
    <mergeCell ref="H4:H5"/>
    <mergeCell ref="A4:B5"/>
    <mergeCell ref="C4:D5"/>
    <mergeCell ref="E4:F5"/>
    <mergeCell ref="G4:G5"/>
    <mergeCell ref="I4:K5"/>
    <mergeCell ref="A6:B7"/>
    <mergeCell ref="C6:D7"/>
    <mergeCell ref="E6:F7"/>
    <mergeCell ref="G6:G7"/>
    <mergeCell ref="I6:K7"/>
    <mergeCell ref="H8:H9"/>
    <mergeCell ref="A8:B9"/>
    <mergeCell ref="C8:D9"/>
    <mergeCell ref="E8:F9"/>
    <mergeCell ref="G8:G9"/>
    <mergeCell ref="I8:K9"/>
    <mergeCell ref="C10:D10"/>
    <mergeCell ref="H10:J10"/>
    <mergeCell ref="C11:D11"/>
    <mergeCell ref="C12:D12"/>
    <mergeCell ref="C13:D13"/>
    <mergeCell ref="C15:D15"/>
    <mergeCell ref="C17:D17"/>
    <mergeCell ref="C18:D18"/>
    <mergeCell ref="C20:D20"/>
    <mergeCell ref="C22:D22"/>
    <mergeCell ref="C24:D24"/>
    <mergeCell ref="C26:D26"/>
    <mergeCell ref="C27:D27"/>
    <mergeCell ref="C29:D29"/>
    <mergeCell ref="C31:D31"/>
    <mergeCell ref="C33:D33"/>
    <mergeCell ref="C35:D35"/>
    <mergeCell ref="C37:D37"/>
    <mergeCell ref="C39:D39"/>
    <mergeCell ref="C43:D43"/>
    <mergeCell ref="C44:D44"/>
    <mergeCell ref="C46:D46"/>
    <mergeCell ref="C48:D48"/>
    <mergeCell ref="C50:D50"/>
    <mergeCell ref="C52:D52"/>
    <mergeCell ref="C54:D54"/>
    <mergeCell ref="C56:D56"/>
    <mergeCell ref="C58:D58"/>
    <mergeCell ref="C59:D59"/>
    <mergeCell ref="C62:D62"/>
    <mergeCell ref="C65:D65"/>
    <mergeCell ref="C68:D68"/>
    <mergeCell ref="C70:D70"/>
    <mergeCell ref="C73:D73"/>
    <mergeCell ref="C75:D75"/>
    <mergeCell ref="C79:D79"/>
    <mergeCell ref="C81:D81"/>
    <mergeCell ref="C83:D83"/>
    <mergeCell ref="C84:D84"/>
    <mergeCell ref="C90:D90"/>
    <mergeCell ref="C94:D94"/>
    <mergeCell ref="C98:D98"/>
    <mergeCell ref="C100:D100"/>
    <mergeCell ref="C102:D102"/>
    <mergeCell ref="C104:D104"/>
    <mergeCell ref="C105:D105"/>
    <mergeCell ref="C124:D124"/>
    <mergeCell ref="C125:D125"/>
    <mergeCell ref="C127:D127"/>
    <mergeCell ref="C128:D128"/>
    <mergeCell ref="C130:D130"/>
    <mergeCell ref="C132:D132"/>
    <mergeCell ref="C134:D134"/>
    <mergeCell ref="C136:D136"/>
    <mergeCell ref="C137:D137"/>
    <mergeCell ref="C139:D139"/>
    <mergeCell ref="C141:D141"/>
    <mergeCell ref="C142:D142"/>
    <mergeCell ref="C144:D144"/>
    <mergeCell ref="C146:D146"/>
    <mergeCell ref="C147:D147"/>
    <mergeCell ref="C149:D149"/>
    <mergeCell ref="C150:D150"/>
    <mergeCell ref="C154:D154"/>
    <mergeCell ref="C158:D158"/>
    <mergeCell ref="C159:D159"/>
    <mergeCell ref="C161:D161"/>
    <mergeCell ref="C162:D162"/>
    <mergeCell ref="C185:D185"/>
    <mergeCell ref="C189:D189"/>
    <mergeCell ref="C190:D190"/>
    <mergeCell ref="C192:D192"/>
    <mergeCell ref="C194:D194"/>
    <mergeCell ref="C196:D196"/>
    <mergeCell ref="C198:D198"/>
    <mergeCell ref="C200:D200"/>
    <mergeCell ref="C202:D202"/>
    <mergeCell ref="C203:D203"/>
    <mergeCell ref="C207:D207"/>
    <mergeCell ref="C209:D209"/>
    <mergeCell ref="C210:D210"/>
    <mergeCell ref="C215:D215"/>
    <mergeCell ref="C216:D216"/>
    <mergeCell ref="C217:D217"/>
    <mergeCell ref="C218:D218"/>
    <mergeCell ref="C219:D219"/>
    <mergeCell ref="C227:D227"/>
    <mergeCell ref="C228:D228"/>
    <mergeCell ref="C229:D229"/>
    <mergeCell ref="C230:D230"/>
    <mergeCell ref="C231:D231"/>
    <mergeCell ref="C232:D232"/>
    <mergeCell ref="C247:D247"/>
    <mergeCell ref="C249:D249"/>
    <mergeCell ref="C251:D251"/>
    <mergeCell ref="C253:D253"/>
    <mergeCell ref="C255:D255"/>
    <mergeCell ref="C258:D258"/>
    <mergeCell ref="C260:D260"/>
    <mergeCell ref="C262:D262"/>
    <mergeCell ref="C263:D263"/>
    <mergeCell ref="C265:D265"/>
    <mergeCell ref="C267:D267"/>
    <mergeCell ref="C268:D268"/>
    <mergeCell ref="C270:D270"/>
    <mergeCell ref="C272:D272"/>
    <mergeCell ref="C274:D274"/>
    <mergeCell ref="C275:D275"/>
    <mergeCell ref="C277:D277"/>
    <mergeCell ref="C278:D278"/>
    <mergeCell ref="C281:D281"/>
    <mergeCell ref="C282:D282"/>
    <mergeCell ref="C288:D288"/>
    <mergeCell ref="C289:D289"/>
    <mergeCell ref="C291:D291"/>
    <mergeCell ref="C292:D292"/>
    <mergeCell ref="C294:D294"/>
  </mergeCells>
  <pageMargins left="0.39400000000000002" right="0.39400000000000002" top="0.59099999999999997" bottom="0.59099999999999997" header="0" footer="0"/>
  <pageSetup paperSize="0" firstPageNumber="0" fitToHeight="0" orientation="landscape" useFirstPageNumber="1" horizontalDpi="0" verticalDpi="0" copies="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2D667E-DD82-4FCA-82CA-547360D91DF8}">
  <sheetPr>
    <pageSetUpPr autoPageBreaks="0" fitToPage="1"/>
  </sheetPr>
  <dimension ref="A1:BZ395"/>
  <sheetViews>
    <sheetView showOutlineSymbols="0" workbookViewId="0">
      <pane ySplit="11" topLeftCell="A12" activePane="bottomLeft" state="frozenSplit"/>
      <selection activeCell="A365" sqref="A365:N365"/>
      <selection pane="bottomLeft" activeCell="A8" sqref="A8:B9"/>
    </sheetView>
  </sheetViews>
  <sheetFormatPr defaultColWidth="14.1640625" defaultRowHeight="15" customHeight="1"/>
  <cols>
    <col min="1" max="1" width="4.6640625" customWidth="1"/>
    <col min="2" max="2" width="20.83203125" customWidth="1"/>
    <col min="3" max="3" width="107.5" customWidth="1"/>
    <col min="4" max="4" width="41.6640625" customWidth="1"/>
    <col min="5" max="5" width="6.83203125" customWidth="1"/>
    <col min="6" max="6" width="15" customWidth="1"/>
    <col min="7" max="7" width="14" customWidth="1"/>
    <col min="8" max="10" width="18.33203125" customWidth="1"/>
    <col min="11" max="11" width="15.6640625" customWidth="1"/>
    <col min="76" max="76" width="91.6640625" hidden="1" customWidth="1"/>
  </cols>
  <sheetData>
    <row r="1" spans="1:76" ht="54.75" customHeight="1">
      <c r="A1" s="415" t="s">
        <v>1407</v>
      </c>
      <c r="B1" s="415"/>
      <c r="C1" s="415"/>
      <c r="D1" s="415"/>
      <c r="E1" s="415"/>
      <c r="F1" s="415"/>
      <c r="G1" s="415"/>
      <c r="H1" s="415"/>
      <c r="I1" s="415"/>
      <c r="J1" s="415"/>
      <c r="K1" s="415"/>
      <c r="AS1" s="416">
        <f>SUM(AJ1:AJ2)</f>
        <v>0</v>
      </c>
      <c r="AT1" s="416">
        <f>SUM(AK1:AK2)</f>
        <v>0</v>
      </c>
      <c r="AU1" s="416">
        <f>SUM(AL1:AL2)</f>
        <v>0</v>
      </c>
    </row>
    <row r="2" spans="1:76" ht="13.5">
      <c r="A2" s="417" t="s">
        <v>299</v>
      </c>
      <c r="B2" s="418"/>
      <c r="C2" s="419" t="s">
        <v>605</v>
      </c>
      <c r="D2" s="420"/>
      <c r="E2" s="418" t="s">
        <v>606</v>
      </c>
      <c r="F2" s="418"/>
      <c r="G2" s="418" t="s">
        <v>607</v>
      </c>
      <c r="H2" s="421" t="s">
        <v>94</v>
      </c>
      <c r="I2" s="421" t="s">
        <v>608</v>
      </c>
      <c r="J2" s="418"/>
      <c r="K2" s="422"/>
    </row>
    <row r="3" spans="1:76" ht="13.5">
      <c r="A3" s="423"/>
      <c r="B3" s="424"/>
      <c r="C3" s="425"/>
      <c r="D3" s="425"/>
      <c r="E3" s="424"/>
      <c r="F3" s="424"/>
      <c r="G3" s="424"/>
      <c r="H3" s="424"/>
      <c r="I3" s="424"/>
      <c r="J3" s="424"/>
      <c r="K3" s="426"/>
    </row>
    <row r="4" spans="1:76" ht="13.5">
      <c r="A4" s="427" t="s">
        <v>609</v>
      </c>
      <c r="B4" s="424"/>
      <c r="C4" s="428" t="s">
        <v>603</v>
      </c>
      <c r="D4" s="424"/>
      <c r="E4" s="424" t="s">
        <v>610</v>
      </c>
      <c r="F4" s="424"/>
      <c r="G4" s="424" t="s">
        <v>607</v>
      </c>
      <c r="H4" s="428" t="s">
        <v>98</v>
      </c>
      <c r="I4" s="428" t="s">
        <v>611</v>
      </c>
      <c r="J4" s="424"/>
      <c r="K4" s="426"/>
    </row>
    <row r="5" spans="1:76" ht="13.5">
      <c r="A5" s="423"/>
      <c r="B5" s="424"/>
      <c r="C5" s="424"/>
      <c r="D5" s="424"/>
      <c r="E5" s="424"/>
      <c r="F5" s="424"/>
      <c r="G5" s="424"/>
      <c r="H5" s="424"/>
      <c r="I5" s="424"/>
      <c r="J5" s="424"/>
      <c r="K5" s="426"/>
    </row>
    <row r="6" spans="1:76" ht="13.5">
      <c r="A6" s="427" t="s">
        <v>612</v>
      </c>
      <c r="B6" s="424"/>
      <c r="C6" s="428" t="s">
        <v>613</v>
      </c>
      <c r="D6" s="424"/>
      <c r="E6" s="424" t="s">
        <v>614</v>
      </c>
      <c r="F6" s="424"/>
      <c r="G6" s="424" t="s">
        <v>607</v>
      </c>
      <c r="H6" s="428" t="s">
        <v>97</v>
      </c>
      <c r="I6" s="424" t="s">
        <v>615</v>
      </c>
      <c r="J6" s="424"/>
      <c r="K6" s="426"/>
    </row>
    <row r="7" spans="1:76" ht="13.5">
      <c r="A7" s="423"/>
      <c r="B7" s="424"/>
      <c r="C7" s="424"/>
      <c r="D7" s="424"/>
      <c r="E7" s="424"/>
      <c r="F7" s="424"/>
      <c r="G7" s="424"/>
      <c r="H7" s="424"/>
      <c r="I7" s="424"/>
      <c r="J7" s="424"/>
      <c r="K7" s="426"/>
    </row>
    <row r="8" spans="1:76" ht="13.5">
      <c r="A8" s="427" t="s">
        <v>616</v>
      </c>
      <c r="B8" s="424"/>
      <c r="C8" s="428" t="s">
        <v>607</v>
      </c>
      <c r="D8" s="424"/>
      <c r="E8" s="424" t="s">
        <v>617</v>
      </c>
      <c r="F8" s="424"/>
      <c r="G8" s="424" t="s">
        <v>1408</v>
      </c>
      <c r="H8" s="428" t="s">
        <v>618</v>
      </c>
      <c r="I8" s="428" t="s">
        <v>619</v>
      </c>
      <c r="J8" s="424"/>
      <c r="K8" s="426"/>
    </row>
    <row r="9" spans="1:76" ht="14.25" thickBot="1">
      <c r="A9" s="423"/>
      <c r="B9" s="424"/>
      <c r="C9" s="424"/>
      <c r="D9" s="424"/>
      <c r="E9" s="424"/>
      <c r="F9" s="424"/>
      <c r="G9" s="424"/>
      <c r="H9" s="424"/>
      <c r="I9" s="424"/>
      <c r="J9" s="424"/>
      <c r="K9" s="426"/>
    </row>
    <row r="10" spans="1:76" ht="13.5">
      <c r="A10" s="429" t="s">
        <v>620</v>
      </c>
      <c r="B10" s="430" t="s">
        <v>621</v>
      </c>
      <c r="C10" s="431" t="s">
        <v>622</v>
      </c>
      <c r="D10" s="432"/>
      <c r="E10" s="430" t="s">
        <v>623</v>
      </c>
      <c r="F10" s="433" t="s">
        <v>624</v>
      </c>
      <c r="G10" s="434" t="s">
        <v>625</v>
      </c>
      <c r="H10" s="435" t="s">
        <v>626</v>
      </c>
      <c r="I10" s="436"/>
      <c r="J10" s="437"/>
      <c r="K10" s="433" t="s">
        <v>627</v>
      </c>
      <c r="BK10" s="438" t="s">
        <v>628</v>
      </c>
      <c r="BL10" s="439" t="s">
        <v>629</v>
      </c>
      <c r="BW10" s="439" t="s">
        <v>1409</v>
      </c>
    </row>
    <row r="11" spans="1:76" ht="14.25" thickBot="1">
      <c r="A11" s="440" t="s">
        <v>607</v>
      </c>
      <c r="B11" s="441" t="s">
        <v>607</v>
      </c>
      <c r="C11" s="442" t="s">
        <v>630</v>
      </c>
      <c r="D11" s="443"/>
      <c r="E11" s="441" t="s">
        <v>607</v>
      </c>
      <c r="F11" s="441" t="s">
        <v>607</v>
      </c>
      <c r="G11" s="444" t="s">
        <v>631</v>
      </c>
      <c r="H11" s="445" t="s">
        <v>632</v>
      </c>
      <c r="I11" s="446" t="s">
        <v>633</v>
      </c>
      <c r="J11" s="447" t="s">
        <v>634</v>
      </c>
      <c r="K11" s="446" t="s">
        <v>635</v>
      </c>
      <c r="Z11" s="438" t="s">
        <v>636</v>
      </c>
      <c r="AA11" s="438" t="s">
        <v>637</v>
      </c>
      <c r="AB11" s="438" t="s">
        <v>638</v>
      </c>
      <c r="AC11" s="438" t="s">
        <v>639</v>
      </c>
      <c r="AD11" s="438" t="s">
        <v>640</v>
      </c>
      <c r="AE11" s="438" t="s">
        <v>641</v>
      </c>
      <c r="AF11" s="438" t="s">
        <v>642</v>
      </c>
      <c r="AG11" s="438" t="s">
        <v>643</v>
      </c>
      <c r="AH11" s="438" t="s">
        <v>644</v>
      </c>
      <c r="BH11" s="438" t="s">
        <v>645</v>
      </c>
      <c r="BI11" s="438" t="s">
        <v>646</v>
      </c>
      <c r="BJ11" s="438" t="s">
        <v>647</v>
      </c>
    </row>
    <row r="12" spans="1:76" ht="13.5">
      <c r="A12" s="448" t="s">
        <v>648</v>
      </c>
      <c r="B12" s="449" t="s">
        <v>649</v>
      </c>
      <c r="C12" s="450" t="s">
        <v>650</v>
      </c>
      <c r="D12" s="451"/>
      <c r="E12" s="452" t="s">
        <v>607</v>
      </c>
      <c r="F12" s="452" t="s">
        <v>607</v>
      </c>
      <c r="G12" s="452" t="s">
        <v>607</v>
      </c>
      <c r="H12" s="416">
        <f>SUM(H13:H19)</f>
        <v>0</v>
      </c>
      <c r="I12" s="416">
        <f>SUM(I13:I19)</f>
        <v>0</v>
      </c>
      <c r="J12" s="416">
        <f>SUM(J13:J19)</f>
        <v>0</v>
      </c>
      <c r="K12" s="453" t="s">
        <v>648</v>
      </c>
      <c r="AI12" s="438" t="s">
        <v>648</v>
      </c>
      <c r="AS12" s="416">
        <f>SUM(AJ13:AJ19)</f>
        <v>0</v>
      </c>
      <c r="AT12" s="416">
        <f>SUM(AK13:AK19)</f>
        <v>0</v>
      </c>
      <c r="AU12" s="416">
        <f>SUM(AL13:AL19)</f>
        <v>0</v>
      </c>
    </row>
    <row r="13" spans="1:76" ht="13.5">
      <c r="A13" s="454" t="s">
        <v>651</v>
      </c>
      <c r="B13" s="455" t="s">
        <v>652</v>
      </c>
      <c r="C13" s="428" t="s">
        <v>653</v>
      </c>
      <c r="D13" s="424"/>
      <c r="E13" s="455" t="s">
        <v>654</v>
      </c>
      <c r="F13" s="456">
        <v>1</v>
      </c>
      <c r="G13" s="456">
        <v>0</v>
      </c>
      <c r="H13" s="456">
        <f>F13*AO13</f>
        <v>0</v>
      </c>
      <c r="I13" s="456">
        <f>F13*AP13</f>
        <v>0</v>
      </c>
      <c r="J13" s="456">
        <f>F13*G13</f>
        <v>0</v>
      </c>
      <c r="K13" s="457" t="s">
        <v>648</v>
      </c>
      <c r="Z13" s="456">
        <f>IF(AQ13="5",BJ13,0)</f>
        <v>0</v>
      </c>
      <c r="AB13" s="456">
        <f>IF(AQ13="1",BH13,0)</f>
        <v>0</v>
      </c>
      <c r="AC13" s="456">
        <f>IF(AQ13="1",BI13,0)</f>
        <v>0</v>
      </c>
      <c r="AD13" s="456">
        <f>IF(AQ13="7",BH13,0)</f>
        <v>0</v>
      </c>
      <c r="AE13" s="456">
        <f>IF(AQ13="7",BI13,0)</f>
        <v>0</v>
      </c>
      <c r="AF13" s="456">
        <f>IF(AQ13="2",BH13,0)</f>
        <v>0</v>
      </c>
      <c r="AG13" s="456">
        <f>IF(AQ13="2",BI13,0)</f>
        <v>0</v>
      </c>
      <c r="AH13" s="456">
        <f>IF(AQ13="0",BJ13,0)</f>
        <v>0</v>
      </c>
      <c r="AI13" s="438" t="s">
        <v>648</v>
      </c>
      <c r="AJ13" s="456">
        <f>IF(AN13=0,J13,0)</f>
        <v>0</v>
      </c>
      <c r="AK13" s="456">
        <f>IF(AN13=12,J13,0)</f>
        <v>0</v>
      </c>
      <c r="AL13" s="456">
        <f>IF(AN13=21,J13,0)</f>
        <v>0</v>
      </c>
      <c r="AN13" s="456">
        <v>21</v>
      </c>
      <c r="AO13" s="456">
        <f>G13*0</f>
        <v>0</v>
      </c>
      <c r="AP13" s="456">
        <f>G13*(1-0)</f>
        <v>0</v>
      </c>
      <c r="AQ13" s="458" t="s">
        <v>651</v>
      </c>
      <c r="AV13" s="456">
        <f>AW13+AX13</f>
        <v>0</v>
      </c>
      <c r="AW13" s="456">
        <f>F13*AO13</f>
        <v>0</v>
      </c>
      <c r="AX13" s="456">
        <f>F13*AP13</f>
        <v>0</v>
      </c>
      <c r="AY13" s="458" t="s">
        <v>655</v>
      </c>
      <c r="AZ13" s="458" t="s">
        <v>655</v>
      </c>
      <c r="BA13" s="438" t="s">
        <v>656</v>
      </c>
      <c r="BC13" s="456">
        <f>AW13+AX13</f>
        <v>0</v>
      </c>
      <c r="BD13" s="456">
        <f>G13/(100-BE13)*100</f>
        <v>0</v>
      </c>
      <c r="BE13" s="456">
        <v>0</v>
      </c>
      <c r="BF13" s="456">
        <f>13</f>
        <v>13</v>
      </c>
      <c r="BH13" s="456">
        <f>F13*AO13</f>
        <v>0</v>
      </c>
      <c r="BI13" s="456">
        <f>F13*AP13</f>
        <v>0</v>
      </c>
      <c r="BJ13" s="456">
        <f>F13*G13</f>
        <v>0</v>
      </c>
      <c r="BK13" s="456"/>
      <c r="BL13" s="456">
        <v>0</v>
      </c>
      <c r="BW13" s="456">
        <v>21</v>
      </c>
      <c r="BX13" s="459" t="s">
        <v>653</v>
      </c>
    </row>
    <row r="14" spans="1:76" ht="13.5">
      <c r="A14" s="460"/>
      <c r="C14" s="461" t="s">
        <v>657</v>
      </c>
      <c r="D14" s="461" t="s">
        <v>648</v>
      </c>
      <c r="F14" s="462">
        <v>1</v>
      </c>
      <c r="K14" s="463"/>
    </row>
    <row r="15" spans="1:76" ht="13.5">
      <c r="A15" s="454" t="s">
        <v>660</v>
      </c>
      <c r="B15" s="455" t="s">
        <v>1329</v>
      </c>
      <c r="C15" s="428" t="s">
        <v>1330</v>
      </c>
      <c r="D15" s="424"/>
      <c r="E15" s="455" t="s">
        <v>654</v>
      </c>
      <c r="F15" s="456">
        <v>1</v>
      </c>
      <c r="G15" s="456">
        <v>0</v>
      </c>
      <c r="H15" s="456">
        <f>F15*AO15</f>
        <v>0</v>
      </c>
      <c r="I15" s="456">
        <f>F15*AP15</f>
        <v>0</v>
      </c>
      <c r="J15" s="456">
        <f>F15*G15</f>
        <v>0</v>
      </c>
      <c r="K15" s="457" t="s">
        <v>648</v>
      </c>
      <c r="Z15" s="456">
        <f>IF(AQ15="5",BJ15,0)</f>
        <v>0</v>
      </c>
      <c r="AB15" s="456">
        <f>IF(AQ15="1",BH15,0)</f>
        <v>0</v>
      </c>
      <c r="AC15" s="456">
        <f>IF(AQ15="1",BI15,0)</f>
        <v>0</v>
      </c>
      <c r="AD15" s="456">
        <f>IF(AQ15="7",BH15,0)</f>
        <v>0</v>
      </c>
      <c r="AE15" s="456">
        <f>IF(AQ15="7",BI15,0)</f>
        <v>0</v>
      </c>
      <c r="AF15" s="456">
        <f>IF(AQ15="2",BH15,0)</f>
        <v>0</v>
      </c>
      <c r="AG15" s="456">
        <f>IF(AQ15="2",BI15,0)</f>
        <v>0</v>
      </c>
      <c r="AH15" s="456">
        <f>IF(AQ15="0",BJ15,0)</f>
        <v>0</v>
      </c>
      <c r="AI15" s="438" t="s">
        <v>648</v>
      </c>
      <c r="AJ15" s="456">
        <f>IF(AN15=0,J15,0)</f>
        <v>0</v>
      </c>
      <c r="AK15" s="456">
        <f>IF(AN15=12,J15,0)</f>
        <v>0</v>
      </c>
      <c r="AL15" s="456">
        <f>IF(AN15=21,J15,0)</f>
        <v>0</v>
      </c>
      <c r="AN15" s="456">
        <v>21</v>
      </c>
      <c r="AO15" s="456">
        <f>G15*0.33333335</f>
        <v>0</v>
      </c>
      <c r="AP15" s="456">
        <f>G15*(1-0.33333335)</f>
        <v>0</v>
      </c>
      <c r="AQ15" s="458" t="s">
        <v>651</v>
      </c>
      <c r="AV15" s="456">
        <f>AW15+AX15</f>
        <v>0</v>
      </c>
      <c r="AW15" s="456">
        <f>F15*AO15</f>
        <v>0</v>
      </c>
      <c r="AX15" s="456">
        <f>F15*AP15</f>
        <v>0</v>
      </c>
      <c r="AY15" s="458" t="s">
        <v>655</v>
      </c>
      <c r="AZ15" s="458" t="s">
        <v>655</v>
      </c>
      <c r="BA15" s="438" t="s">
        <v>656</v>
      </c>
      <c r="BC15" s="456">
        <f>AW15+AX15</f>
        <v>0</v>
      </c>
      <c r="BD15" s="456">
        <f>G15/(100-BE15)*100</f>
        <v>0</v>
      </c>
      <c r="BE15" s="456">
        <v>0</v>
      </c>
      <c r="BF15" s="456">
        <f>15</f>
        <v>15</v>
      </c>
      <c r="BH15" s="456">
        <f>F15*AO15</f>
        <v>0</v>
      </c>
      <c r="BI15" s="456">
        <f>F15*AP15</f>
        <v>0</v>
      </c>
      <c r="BJ15" s="456">
        <f>F15*G15</f>
        <v>0</v>
      </c>
      <c r="BK15" s="456"/>
      <c r="BL15" s="456">
        <v>0</v>
      </c>
      <c r="BW15" s="456">
        <v>21</v>
      </c>
      <c r="BX15" s="459" t="s">
        <v>1330</v>
      </c>
    </row>
    <row r="16" spans="1:76" ht="13.5">
      <c r="A16" s="460"/>
      <c r="C16" s="461" t="s">
        <v>1331</v>
      </c>
      <c r="D16" s="461" t="s">
        <v>648</v>
      </c>
      <c r="F16" s="462">
        <v>1</v>
      </c>
      <c r="K16" s="463"/>
    </row>
    <row r="17" spans="1:76" ht="13.5">
      <c r="A17" s="454" t="s">
        <v>665</v>
      </c>
      <c r="B17" s="455" t="s">
        <v>1470</v>
      </c>
      <c r="C17" s="428" t="s">
        <v>1471</v>
      </c>
      <c r="D17" s="424"/>
      <c r="E17" s="455" t="s">
        <v>654</v>
      </c>
      <c r="F17" s="456">
        <v>1</v>
      </c>
      <c r="G17" s="456">
        <v>0</v>
      </c>
      <c r="H17" s="456">
        <f>F17*AO17</f>
        <v>0</v>
      </c>
      <c r="I17" s="456">
        <f>F17*AP17</f>
        <v>0</v>
      </c>
      <c r="J17" s="456">
        <f>F17*G17</f>
        <v>0</v>
      </c>
      <c r="K17" s="457" t="s">
        <v>648</v>
      </c>
      <c r="Z17" s="456">
        <f>IF(AQ17="5",BJ17,0)</f>
        <v>0</v>
      </c>
      <c r="AB17" s="456">
        <f>IF(AQ17="1",BH17,0)</f>
        <v>0</v>
      </c>
      <c r="AC17" s="456">
        <f>IF(AQ17="1",BI17,0)</f>
        <v>0</v>
      </c>
      <c r="AD17" s="456">
        <f>IF(AQ17="7",BH17,0)</f>
        <v>0</v>
      </c>
      <c r="AE17" s="456">
        <f>IF(AQ17="7",BI17,0)</f>
        <v>0</v>
      </c>
      <c r="AF17" s="456">
        <f>IF(AQ17="2",BH17,0)</f>
        <v>0</v>
      </c>
      <c r="AG17" s="456">
        <f>IF(AQ17="2",BI17,0)</f>
        <v>0</v>
      </c>
      <c r="AH17" s="456">
        <f>IF(AQ17="0",BJ17,0)</f>
        <v>0</v>
      </c>
      <c r="AI17" s="438" t="s">
        <v>648</v>
      </c>
      <c r="AJ17" s="456">
        <f>IF(AN17=0,J17,0)</f>
        <v>0</v>
      </c>
      <c r="AK17" s="456">
        <f>IF(AN17=12,J17,0)</f>
        <v>0</v>
      </c>
      <c r="AL17" s="456">
        <f>IF(AN17=21,J17,0)</f>
        <v>0</v>
      </c>
      <c r="AN17" s="456">
        <v>21</v>
      </c>
      <c r="AO17" s="456">
        <f>G17*0</f>
        <v>0</v>
      </c>
      <c r="AP17" s="456">
        <f>G17*(1-0)</f>
        <v>0</v>
      </c>
      <c r="AQ17" s="458" t="s">
        <v>651</v>
      </c>
      <c r="AV17" s="456">
        <f>AW17+AX17</f>
        <v>0</v>
      </c>
      <c r="AW17" s="456">
        <f>F17*AO17</f>
        <v>0</v>
      </c>
      <c r="AX17" s="456">
        <f>F17*AP17</f>
        <v>0</v>
      </c>
      <c r="AY17" s="458" t="s">
        <v>655</v>
      </c>
      <c r="AZ17" s="458" t="s">
        <v>655</v>
      </c>
      <c r="BA17" s="438" t="s">
        <v>656</v>
      </c>
      <c r="BC17" s="456">
        <f>AW17+AX17</f>
        <v>0</v>
      </c>
      <c r="BD17" s="456">
        <f>G17/(100-BE17)*100</f>
        <v>0</v>
      </c>
      <c r="BE17" s="456">
        <v>0</v>
      </c>
      <c r="BF17" s="456">
        <f>17</f>
        <v>17</v>
      </c>
      <c r="BH17" s="456">
        <f>F17*AO17</f>
        <v>0</v>
      </c>
      <c r="BI17" s="456">
        <f>F17*AP17</f>
        <v>0</v>
      </c>
      <c r="BJ17" s="456">
        <f>F17*G17</f>
        <v>0</v>
      </c>
      <c r="BK17" s="456"/>
      <c r="BL17" s="456">
        <v>0</v>
      </c>
      <c r="BW17" s="456">
        <v>21</v>
      </c>
      <c r="BX17" s="459" t="s">
        <v>1471</v>
      </c>
    </row>
    <row r="18" spans="1:76" ht="13.5">
      <c r="A18" s="460"/>
      <c r="C18" s="461" t="s">
        <v>651</v>
      </c>
      <c r="D18" s="461" t="s">
        <v>648</v>
      </c>
      <c r="F18" s="462">
        <v>1</v>
      </c>
      <c r="K18" s="463"/>
    </row>
    <row r="19" spans="1:76" ht="13.5">
      <c r="A19" s="454" t="s">
        <v>668</v>
      </c>
      <c r="B19" s="455" t="s">
        <v>1472</v>
      </c>
      <c r="C19" s="428" t="s">
        <v>1473</v>
      </c>
      <c r="D19" s="424"/>
      <c r="E19" s="455" t="s">
        <v>14</v>
      </c>
      <c r="F19" s="456">
        <v>3</v>
      </c>
      <c r="G19" s="456">
        <v>0</v>
      </c>
      <c r="H19" s="456">
        <f>F19*AO19</f>
        <v>0</v>
      </c>
      <c r="I19" s="456">
        <f>F19*AP19</f>
        <v>0</v>
      </c>
      <c r="J19" s="456">
        <f>F19*G19</f>
        <v>0</v>
      </c>
      <c r="K19" s="457" t="s">
        <v>648</v>
      </c>
      <c r="Z19" s="456">
        <f>IF(AQ19="5",BJ19,0)</f>
        <v>0</v>
      </c>
      <c r="AB19" s="456">
        <f>IF(AQ19="1",BH19,0)</f>
        <v>0</v>
      </c>
      <c r="AC19" s="456">
        <f>IF(AQ19="1",BI19,0)</f>
        <v>0</v>
      </c>
      <c r="AD19" s="456">
        <f>IF(AQ19="7",BH19,0)</f>
        <v>0</v>
      </c>
      <c r="AE19" s="456">
        <f>IF(AQ19="7",BI19,0)</f>
        <v>0</v>
      </c>
      <c r="AF19" s="456">
        <f>IF(AQ19="2",BH19,0)</f>
        <v>0</v>
      </c>
      <c r="AG19" s="456">
        <f>IF(AQ19="2",BI19,0)</f>
        <v>0</v>
      </c>
      <c r="AH19" s="456">
        <f>IF(AQ19="0",BJ19,0)</f>
        <v>0</v>
      </c>
      <c r="AI19" s="438" t="s">
        <v>648</v>
      </c>
      <c r="AJ19" s="456">
        <f>IF(AN19=0,J19,0)</f>
        <v>0</v>
      </c>
      <c r="AK19" s="456">
        <f>IF(AN19=12,J19,0)</f>
        <v>0</v>
      </c>
      <c r="AL19" s="456">
        <f>IF(AN19=21,J19,0)</f>
        <v>0</v>
      </c>
      <c r="AN19" s="456">
        <v>21</v>
      </c>
      <c r="AO19" s="456">
        <f>G19*0.333333333</f>
        <v>0</v>
      </c>
      <c r="AP19" s="456">
        <f>G19*(1-0.333333333)</f>
        <v>0</v>
      </c>
      <c r="AQ19" s="458" t="s">
        <v>651</v>
      </c>
      <c r="AV19" s="456">
        <f>AW19+AX19</f>
        <v>0</v>
      </c>
      <c r="AW19" s="456">
        <f>F19*AO19</f>
        <v>0</v>
      </c>
      <c r="AX19" s="456">
        <f>F19*AP19</f>
        <v>0</v>
      </c>
      <c r="AY19" s="458" t="s">
        <v>655</v>
      </c>
      <c r="AZ19" s="458" t="s">
        <v>655</v>
      </c>
      <c r="BA19" s="438" t="s">
        <v>656</v>
      </c>
      <c r="BC19" s="456">
        <f>AW19+AX19</f>
        <v>0</v>
      </c>
      <c r="BD19" s="456">
        <f>G19/(100-BE19)*100</f>
        <v>0</v>
      </c>
      <c r="BE19" s="456">
        <v>0</v>
      </c>
      <c r="BF19" s="456">
        <f>19</f>
        <v>19</v>
      </c>
      <c r="BH19" s="456">
        <f>F19*AO19</f>
        <v>0</v>
      </c>
      <c r="BI19" s="456">
        <f>F19*AP19</f>
        <v>0</v>
      </c>
      <c r="BJ19" s="456">
        <f>F19*G19</f>
        <v>0</v>
      </c>
      <c r="BK19" s="456"/>
      <c r="BL19" s="456">
        <v>0</v>
      </c>
      <c r="BW19" s="456">
        <v>21</v>
      </c>
      <c r="BX19" s="459" t="s">
        <v>1473</v>
      </c>
    </row>
    <row r="20" spans="1:76" ht="13.5">
      <c r="A20" s="460"/>
      <c r="C20" s="461" t="s">
        <v>1474</v>
      </c>
      <c r="D20" s="461" t="s">
        <v>648</v>
      </c>
      <c r="F20" s="462">
        <v>3</v>
      </c>
      <c r="K20" s="463"/>
    </row>
    <row r="21" spans="1:76" ht="13.5">
      <c r="A21" s="448" t="s">
        <v>648</v>
      </c>
      <c r="B21" s="449" t="s">
        <v>658</v>
      </c>
      <c r="C21" s="450" t="s">
        <v>659</v>
      </c>
      <c r="D21" s="451"/>
      <c r="E21" s="452" t="s">
        <v>607</v>
      </c>
      <c r="F21" s="452" t="s">
        <v>607</v>
      </c>
      <c r="G21" s="452" t="s">
        <v>607</v>
      </c>
      <c r="H21" s="416">
        <f>SUM(H22:H36)</f>
        <v>0</v>
      </c>
      <c r="I21" s="416">
        <f>SUM(I22:I36)</f>
        <v>0</v>
      </c>
      <c r="J21" s="416">
        <f>SUM(J22:J36)</f>
        <v>0</v>
      </c>
      <c r="K21" s="453" t="s">
        <v>648</v>
      </c>
      <c r="AI21" s="438" t="s">
        <v>648</v>
      </c>
      <c r="AS21" s="416">
        <f>SUM(AJ22:AJ36)</f>
        <v>0</v>
      </c>
      <c r="AT21" s="416">
        <f>SUM(AK22:AK36)</f>
        <v>0</v>
      </c>
      <c r="AU21" s="416">
        <f>SUM(AL22:AL36)</f>
        <v>0</v>
      </c>
    </row>
    <row r="22" spans="1:76" ht="13.5">
      <c r="A22" s="454" t="s">
        <v>673</v>
      </c>
      <c r="B22" s="455" t="s">
        <v>661</v>
      </c>
      <c r="C22" s="428" t="s">
        <v>662</v>
      </c>
      <c r="D22" s="424"/>
      <c r="E22" s="455" t="s">
        <v>7</v>
      </c>
      <c r="F22" s="456">
        <v>96</v>
      </c>
      <c r="G22" s="456">
        <v>0</v>
      </c>
      <c r="H22" s="456">
        <f>F22*AO22</f>
        <v>0</v>
      </c>
      <c r="I22" s="456">
        <f>F22*AP22</f>
        <v>0</v>
      </c>
      <c r="J22" s="456">
        <f>F22*G22</f>
        <v>0</v>
      </c>
      <c r="K22" s="457" t="s">
        <v>1410</v>
      </c>
      <c r="Z22" s="456">
        <f>IF(AQ22="5",BJ22,0)</f>
        <v>0</v>
      </c>
      <c r="AB22" s="456">
        <f>IF(AQ22="1",BH22,0)</f>
        <v>0</v>
      </c>
      <c r="AC22" s="456">
        <f>IF(AQ22="1",BI22,0)</f>
        <v>0</v>
      </c>
      <c r="AD22" s="456">
        <f>IF(AQ22="7",BH22,0)</f>
        <v>0</v>
      </c>
      <c r="AE22" s="456">
        <f>IF(AQ22="7",BI22,0)</f>
        <v>0</v>
      </c>
      <c r="AF22" s="456">
        <f>IF(AQ22="2",BH22,0)</f>
        <v>0</v>
      </c>
      <c r="AG22" s="456">
        <f>IF(AQ22="2",BI22,0)</f>
        <v>0</v>
      </c>
      <c r="AH22" s="456">
        <f>IF(AQ22="0",BJ22,0)</f>
        <v>0</v>
      </c>
      <c r="AI22" s="438" t="s">
        <v>648</v>
      </c>
      <c r="AJ22" s="456">
        <f>IF(AN22=0,J22,0)</f>
        <v>0</v>
      </c>
      <c r="AK22" s="456">
        <f>IF(AN22=12,J22,0)</f>
        <v>0</v>
      </c>
      <c r="AL22" s="456">
        <f>IF(AN22=21,J22,0)</f>
        <v>0</v>
      </c>
      <c r="AN22" s="456">
        <v>21</v>
      </c>
      <c r="AO22" s="456">
        <f>G22*0.291967213</f>
        <v>0</v>
      </c>
      <c r="AP22" s="456">
        <f>G22*(1-0.291967213)</f>
        <v>0</v>
      </c>
      <c r="AQ22" s="458" t="s">
        <v>651</v>
      </c>
      <c r="AV22" s="456">
        <f>AW22+AX22</f>
        <v>0</v>
      </c>
      <c r="AW22" s="456">
        <f>F22*AO22</f>
        <v>0</v>
      </c>
      <c r="AX22" s="456">
        <f>F22*AP22</f>
        <v>0</v>
      </c>
      <c r="AY22" s="458" t="s">
        <v>663</v>
      </c>
      <c r="AZ22" s="458" t="s">
        <v>664</v>
      </c>
      <c r="BA22" s="438" t="s">
        <v>656</v>
      </c>
      <c r="BC22" s="456">
        <f>AW22+AX22</f>
        <v>0</v>
      </c>
      <c r="BD22" s="456">
        <f>G22/(100-BE22)*100</f>
        <v>0</v>
      </c>
      <c r="BE22" s="456">
        <v>0</v>
      </c>
      <c r="BF22" s="456">
        <f>22</f>
        <v>22</v>
      </c>
      <c r="BH22" s="456">
        <f>F22*AO22</f>
        <v>0</v>
      </c>
      <c r="BI22" s="456">
        <f>F22*AP22</f>
        <v>0</v>
      </c>
      <c r="BJ22" s="456">
        <f>F22*G22</f>
        <v>0</v>
      </c>
      <c r="BK22" s="456"/>
      <c r="BL22" s="456">
        <v>11</v>
      </c>
      <c r="BW22" s="456">
        <v>21</v>
      </c>
      <c r="BX22" s="459" t="s">
        <v>662</v>
      </c>
    </row>
    <row r="23" spans="1:76" ht="13.5">
      <c r="A23" s="460"/>
      <c r="C23" s="461" t="s">
        <v>1332</v>
      </c>
      <c r="D23" s="461" t="s">
        <v>648</v>
      </c>
      <c r="F23" s="462">
        <v>27</v>
      </c>
      <c r="K23" s="463"/>
    </row>
    <row r="24" spans="1:76" ht="13.5">
      <c r="A24" s="460"/>
      <c r="C24" s="461" t="s">
        <v>1333</v>
      </c>
      <c r="D24" s="461" t="s">
        <v>648</v>
      </c>
      <c r="F24" s="462">
        <v>38</v>
      </c>
      <c r="K24" s="463"/>
    </row>
    <row r="25" spans="1:76" ht="13.5">
      <c r="A25" s="460"/>
      <c r="C25" s="461" t="s">
        <v>1334</v>
      </c>
      <c r="D25" s="461" t="s">
        <v>648</v>
      </c>
      <c r="F25" s="462">
        <v>31</v>
      </c>
      <c r="K25" s="463"/>
    </row>
    <row r="26" spans="1:76" ht="13.5">
      <c r="A26" s="454" t="s">
        <v>675</v>
      </c>
      <c r="B26" s="455" t="s">
        <v>666</v>
      </c>
      <c r="C26" s="428" t="s">
        <v>667</v>
      </c>
      <c r="D26" s="424"/>
      <c r="E26" s="455" t="s">
        <v>7</v>
      </c>
      <c r="F26" s="456">
        <v>115</v>
      </c>
      <c r="G26" s="456">
        <v>0</v>
      </c>
      <c r="H26" s="456">
        <f>F26*AO26</f>
        <v>0</v>
      </c>
      <c r="I26" s="456">
        <f>F26*AP26</f>
        <v>0</v>
      </c>
      <c r="J26" s="456">
        <f>F26*G26</f>
        <v>0</v>
      </c>
      <c r="K26" s="457" t="s">
        <v>1410</v>
      </c>
      <c r="Z26" s="456">
        <f>IF(AQ26="5",BJ26,0)</f>
        <v>0</v>
      </c>
      <c r="AB26" s="456">
        <f>IF(AQ26="1",BH26,0)</f>
        <v>0</v>
      </c>
      <c r="AC26" s="456">
        <f>IF(AQ26="1",BI26,0)</f>
        <v>0</v>
      </c>
      <c r="AD26" s="456">
        <f>IF(AQ26="7",BH26,0)</f>
        <v>0</v>
      </c>
      <c r="AE26" s="456">
        <f>IF(AQ26="7",BI26,0)</f>
        <v>0</v>
      </c>
      <c r="AF26" s="456">
        <f>IF(AQ26="2",BH26,0)</f>
        <v>0</v>
      </c>
      <c r="AG26" s="456">
        <f>IF(AQ26="2",BI26,0)</f>
        <v>0</v>
      </c>
      <c r="AH26" s="456">
        <f>IF(AQ26="0",BJ26,0)</f>
        <v>0</v>
      </c>
      <c r="AI26" s="438" t="s">
        <v>648</v>
      </c>
      <c r="AJ26" s="456">
        <f>IF(AN26=0,J26,0)</f>
        <v>0</v>
      </c>
      <c r="AK26" s="456">
        <f>IF(AN26=12,J26,0)</f>
        <v>0</v>
      </c>
      <c r="AL26" s="456">
        <f>IF(AN26=21,J26,0)</f>
        <v>0</v>
      </c>
      <c r="AN26" s="456">
        <v>21</v>
      </c>
      <c r="AO26" s="456">
        <f>G26*0.257169811</f>
        <v>0</v>
      </c>
      <c r="AP26" s="456">
        <f>G26*(1-0.257169811)</f>
        <v>0</v>
      </c>
      <c r="AQ26" s="458" t="s">
        <v>651</v>
      </c>
      <c r="AV26" s="456">
        <f>AW26+AX26</f>
        <v>0</v>
      </c>
      <c r="AW26" s="456">
        <f>F26*AO26</f>
        <v>0</v>
      </c>
      <c r="AX26" s="456">
        <f>F26*AP26</f>
        <v>0</v>
      </c>
      <c r="AY26" s="458" t="s">
        <v>663</v>
      </c>
      <c r="AZ26" s="458" t="s">
        <v>664</v>
      </c>
      <c r="BA26" s="438" t="s">
        <v>656</v>
      </c>
      <c r="BC26" s="456">
        <f>AW26+AX26</f>
        <v>0</v>
      </c>
      <c r="BD26" s="456">
        <f>G26/(100-BE26)*100</f>
        <v>0</v>
      </c>
      <c r="BE26" s="456">
        <v>0</v>
      </c>
      <c r="BF26" s="456">
        <f>26</f>
        <v>26</v>
      </c>
      <c r="BH26" s="456">
        <f>F26*AO26</f>
        <v>0</v>
      </c>
      <c r="BI26" s="456">
        <f>F26*AP26</f>
        <v>0</v>
      </c>
      <c r="BJ26" s="456">
        <f>F26*G26</f>
        <v>0</v>
      </c>
      <c r="BK26" s="456"/>
      <c r="BL26" s="456">
        <v>11</v>
      </c>
      <c r="BW26" s="456">
        <v>21</v>
      </c>
      <c r="BX26" s="459" t="s">
        <v>667</v>
      </c>
    </row>
    <row r="27" spans="1:76" ht="13.5">
      <c r="A27" s="460"/>
      <c r="C27" s="461" t="s">
        <v>1335</v>
      </c>
      <c r="D27" s="461" t="s">
        <v>648</v>
      </c>
      <c r="F27" s="462">
        <v>29</v>
      </c>
      <c r="K27" s="463"/>
    </row>
    <row r="28" spans="1:76" ht="13.5">
      <c r="A28" s="460"/>
      <c r="C28" s="461" t="s">
        <v>1336</v>
      </c>
      <c r="D28" s="461" t="s">
        <v>648</v>
      </c>
      <c r="F28" s="462">
        <v>42</v>
      </c>
      <c r="K28" s="463"/>
    </row>
    <row r="29" spans="1:76" ht="13.5">
      <c r="A29" s="460"/>
      <c r="C29" s="461" t="s">
        <v>1337</v>
      </c>
      <c r="D29" s="461" t="s">
        <v>648</v>
      </c>
      <c r="F29" s="462">
        <v>44</v>
      </c>
      <c r="K29" s="463"/>
    </row>
    <row r="30" spans="1:76" ht="13.5">
      <c r="A30" s="454" t="s">
        <v>679</v>
      </c>
      <c r="B30" s="455" t="s">
        <v>669</v>
      </c>
      <c r="C30" s="428" t="s">
        <v>670</v>
      </c>
      <c r="D30" s="424"/>
      <c r="E30" s="455" t="s">
        <v>40</v>
      </c>
      <c r="F30" s="456">
        <v>213.8</v>
      </c>
      <c r="G30" s="456">
        <v>0</v>
      </c>
      <c r="H30" s="456">
        <f>F30*AO30</f>
        <v>0</v>
      </c>
      <c r="I30" s="456">
        <f>F30*AP30</f>
        <v>0</v>
      </c>
      <c r="J30" s="456">
        <f>F30*G30</f>
        <v>0</v>
      </c>
      <c r="K30" s="457" t="s">
        <v>1410</v>
      </c>
      <c r="Z30" s="456">
        <f>IF(AQ30="5",BJ30,0)</f>
        <v>0</v>
      </c>
      <c r="AB30" s="456">
        <f>IF(AQ30="1",BH30,0)</f>
        <v>0</v>
      </c>
      <c r="AC30" s="456">
        <f>IF(AQ30="1",BI30,0)</f>
        <v>0</v>
      </c>
      <c r="AD30" s="456">
        <f>IF(AQ30="7",BH30,0)</f>
        <v>0</v>
      </c>
      <c r="AE30" s="456">
        <f>IF(AQ30="7",BI30,0)</f>
        <v>0</v>
      </c>
      <c r="AF30" s="456">
        <f>IF(AQ30="2",BH30,0)</f>
        <v>0</v>
      </c>
      <c r="AG30" s="456">
        <f>IF(AQ30="2",BI30,0)</f>
        <v>0</v>
      </c>
      <c r="AH30" s="456">
        <f>IF(AQ30="0",BJ30,0)</f>
        <v>0</v>
      </c>
      <c r="AI30" s="438" t="s">
        <v>648</v>
      </c>
      <c r="AJ30" s="456">
        <f>IF(AN30=0,J30,0)</f>
        <v>0</v>
      </c>
      <c r="AK30" s="456">
        <f>IF(AN30=12,J30,0)</f>
        <v>0</v>
      </c>
      <c r="AL30" s="456">
        <f>IF(AN30=21,J30,0)</f>
        <v>0</v>
      </c>
      <c r="AN30" s="456">
        <v>21</v>
      </c>
      <c r="AO30" s="456">
        <f>G30*0</f>
        <v>0</v>
      </c>
      <c r="AP30" s="456">
        <f>G30*(1-0)</f>
        <v>0</v>
      </c>
      <c r="AQ30" s="458" t="s">
        <v>651</v>
      </c>
      <c r="AV30" s="456">
        <f>AW30+AX30</f>
        <v>0</v>
      </c>
      <c r="AW30" s="456">
        <f>F30*AO30</f>
        <v>0</v>
      </c>
      <c r="AX30" s="456">
        <f>F30*AP30</f>
        <v>0</v>
      </c>
      <c r="AY30" s="458" t="s">
        <v>663</v>
      </c>
      <c r="AZ30" s="458" t="s">
        <v>664</v>
      </c>
      <c r="BA30" s="438" t="s">
        <v>656</v>
      </c>
      <c r="BC30" s="456">
        <f>AW30+AX30</f>
        <v>0</v>
      </c>
      <c r="BD30" s="456">
        <f>G30/(100-BE30)*100</f>
        <v>0</v>
      </c>
      <c r="BE30" s="456">
        <v>0</v>
      </c>
      <c r="BF30" s="456">
        <f>30</f>
        <v>30</v>
      </c>
      <c r="BH30" s="456">
        <f>F30*AO30</f>
        <v>0</v>
      </c>
      <c r="BI30" s="456">
        <f>F30*AP30</f>
        <v>0</v>
      </c>
      <c r="BJ30" s="456">
        <f>F30*G30</f>
        <v>0</v>
      </c>
      <c r="BK30" s="456"/>
      <c r="BL30" s="456">
        <v>11</v>
      </c>
      <c r="BW30" s="456">
        <v>21</v>
      </c>
      <c r="BX30" s="459" t="s">
        <v>670</v>
      </c>
    </row>
    <row r="31" spans="1:76" ht="13.5">
      <c r="A31" s="460"/>
      <c r="C31" s="461" t="s">
        <v>1475</v>
      </c>
      <c r="D31" s="461" t="s">
        <v>648</v>
      </c>
      <c r="F31" s="462">
        <v>213.8</v>
      </c>
      <c r="K31" s="463"/>
    </row>
    <row r="32" spans="1:76" ht="13.5">
      <c r="A32" s="454" t="s">
        <v>684</v>
      </c>
      <c r="B32" s="455" t="s">
        <v>1339</v>
      </c>
      <c r="C32" s="428" t="s">
        <v>1340</v>
      </c>
      <c r="D32" s="424"/>
      <c r="E32" s="455" t="s">
        <v>40</v>
      </c>
      <c r="F32" s="456">
        <v>507.2</v>
      </c>
      <c r="G32" s="456">
        <v>0</v>
      </c>
      <c r="H32" s="456">
        <f>F32*AO32</f>
        <v>0</v>
      </c>
      <c r="I32" s="456">
        <f>F32*AP32</f>
        <v>0</v>
      </c>
      <c r="J32" s="456">
        <f>F32*G32</f>
        <v>0</v>
      </c>
      <c r="K32" s="457" t="s">
        <v>1410</v>
      </c>
      <c r="Z32" s="456">
        <f>IF(AQ32="5",BJ32,0)</f>
        <v>0</v>
      </c>
      <c r="AB32" s="456">
        <f>IF(AQ32="1",BH32,0)</f>
        <v>0</v>
      </c>
      <c r="AC32" s="456">
        <f>IF(AQ32="1",BI32,0)</f>
        <v>0</v>
      </c>
      <c r="AD32" s="456">
        <f>IF(AQ32="7",BH32,0)</f>
        <v>0</v>
      </c>
      <c r="AE32" s="456">
        <f>IF(AQ32="7",BI32,0)</f>
        <v>0</v>
      </c>
      <c r="AF32" s="456">
        <f>IF(AQ32="2",BH32,0)</f>
        <v>0</v>
      </c>
      <c r="AG32" s="456">
        <f>IF(AQ32="2",BI32,0)</f>
        <v>0</v>
      </c>
      <c r="AH32" s="456">
        <f>IF(AQ32="0",BJ32,0)</f>
        <v>0</v>
      </c>
      <c r="AI32" s="438" t="s">
        <v>648</v>
      </c>
      <c r="AJ32" s="456">
        <f>IF(AN32=0,J32,0)</f>
        <v>0</v>
      </c>
      <c r="AK32" s="456">
        <f>IF(AN32=12,J32,0)</f>
        <v>0</v>
      </c>
      <c r="AL32" s="456">
        <f>IF(AN32=21,J32,0)</f>
        <v>0</v>
      </c>
      <c r="AN32" s="456">
        <v>21</v>
      </c>
      <c r="AO32" s="456">
        <f>G32*0.021948312</f>
        <v>0</v>
      </c>
      <c r="AP32" s="456">
        <f>G32*(1-0.021948312)</f>
        <v>0</v>
      </c>
      <c r="AQ32" s="458" t="s">
        <v>651</v>
      </c>
      <c r="AV32" s="456">
        <f>AW32+AX32</f>
        <v>0</v>
      </c>
      <c r="AW32" s="456">
        <f>F32*AO32</f>
        <v>0</v>
      </c>
      <c r="AX32" s="456">
        <f>F32*AP32</f>
        <v>0</v>
      </c>
      <c r="AY32" s="458" t="s">
        <v>663</v>
      </c>
      <c r="AZ32" s="458" t="s">
        <v>664</v>
      </c>
      <c r="BA32" s="438" t="s">
        <v>656</v>
      </c>
      <c r="BC32" s="456">
        <f>AW32+AX32</f>
        <v>0</v>
      </c>
      <c r="BD32" s="456">
        <f>G32/(100-BE32)*100</f>
        <v>0</v>
      </c>
      <c r="BE32" s="456">
        <v>0</v>
      </c>
      <c r="BF32" s="456">
        <f>32</f>
        <v>32</v>
      </c>
      <c r="BH32" s="456">
        <f>F32*AO32</f>
        <v>0</v>
      </c>
      <c r="BI32" s="456">
        <f>F32*AP32</f>
        <v>0</v>
      </c>
      <c r="BJ32" s="456">
        <f>F32*G32</f>
        <v>0</v>
      </c>
      <c r="BK32" s="456"/>
      <c r="BL32" s="456">
        <v>11</v>
      </c>
      <c r="BW32" s="456">
        <v>21</v>
      </c>
      <c r="BX32" s="459" t="s">
        <v>1340</v>
      </c>
    </row>
    <row r="33" spans="1:76" ht="13.5">
      <c r="A33" s="460"/>
      <c r="C33" s="461" t="s">
        <v>1476</v>
      </c>
      <c r="D33" s="461" t="s">
        <v>648</v>
      </c>
      <c r="F33" s="462">
        <v>507.2</v>
      </c>
      <c r="K33" s="463"/>
    </row>
    <row r="34" spans="1:76" ht="13.5">
      <c r="A34" s="454" t="s">
        <v>690</v>
      </c>
      <c r="B34" s="455" t="s">
        <v>676</v>
      </c>
      <c r="C34" s="428" t="s">
        <v>677</v>
      </c>
      <c r="D34" s="424"/>
      <c r="E34" s="455" t="s">
        <v>40</v>
      </c>
      <c r="F34" s="456">
        <v>132.80000000000001</v>
      </c>
      <c r="G34" s="456">
        <v>0</v>
      </c>
      <c r="H34" s="456">
        <f>F34*AO34</f>
        <v>0</v>
      </c>
      <c r="I34" s="456">
        <f>F34*AP34</f>
        <v>0</v>
      </c>
      <c r="J34" s="456">
        <f>F34*G34</f>
        <v>0</v>
      </c>
      <c r="K34" s="457" t="s">
        <v>1410</v>
      </c>
      <c r="Z34" s="456">
        <f>IF(AQ34="5",BJ34,0)</f>
        <v>0</v>
      </c>
      <c r="AB34" s="456">
        <f>IF(AQ34="1",BH34,0)</f>
        <v>0</v>
      </c>
      <c r="AC34" s="456">
        <f>IF(AQ34="1",BI34,0)</f>
        <v>0</v>
      </c>
      <c r="AD34" s="456">
        <f>IF(AQ34="7",BH34,0)</f>
        <v>0</v>
      </c>
      <c r="AE34" s="456">
        <f>IF(AQ34="7",BI34,0)</f>
        <v>0</v>
      </c>
      <c r="AF34" s="456">
        <f>IF(AQ34="2",BH34,0)</f>
        <v>0</v>
      </c>
      <c r="AG34" s="456">
        <f>IF(AQ34="2",BI34,0)</f>
        <v>0</v>
      </c>
      <c r="AH34" s="456">
        <f>IF(AQ34="0",BJ34,0)</f>
        <v>0</v>
      </c>
      <c r="AI34" s="438" t="s">
        <v>648</v>
      </c>
      <c r="AJ34" s="456">
        <f>IF(AN34=0,J34,0)</f>
        <v>0</v>
      </c>
      <c r="AK34" s="456">
        <f>IF(AN34=12,J34,0)</f>
        <v>0</v>
      </c>
      <c r="AL34" s="456">
        <f>IF(AN34=21,J34,0)</f>
        <v>0</v>
      </c>
      <c r="AN34" s="456">
        <v>21</v>
      </c>
      <c r="AO34" s="456">
        <f>G34*0</f>
        <v>0</v>
      </c>
      <c r="AP34" s="456">
        <f>G34*(1-0)</f>
        <v>0</v>
      </c>
      <c r="AQ34" s="458" t="s">
        <v>651</v>
      </c>
      <c r="AV34" s="456">
        <f>AW34+AX34</f>
        <v>0</v>
      </c>
      <c r="AW34" s="456">
        <f>F34*AO34</f>
        <v>0</v>
      </c>
      <c r="AX34" s="456">
        <f>F34*AP34</f>
        <v>0</v>
      </c>
      <c r="AY34" s="458" t="s">
        <v>663</v>
      </c>
      <c r="AZ34" s="458" t="s">
        <v>664</v>
      </c>
      <c r="BA34" s="438" t="s">
        <v>656</v>
      </c>
      <c r="BC34" s="456">
        <f>AW34+AX34</f>
        <v>0</v>
      </c>
      <c r="BD34" s="456">
        <f>G34/(100-BE34)*100</f>
        <v>0</v>
      </c>
      <c r="BE34" s="456">
        <v>0</v>
      </c>
      <c r="BF34" s="456">
        <f>34</f>
        <v>34</v>
      </c>
      <c r="BH34" s="456">
        <f>F34*AO34</f>
        <v>0</v>
      </c>
      <c r="BI34" s="456">
        <f>F34*AP34</f>
        <v>0</v>
      </c>
      <c r="BJ34" s="456">
        <f>F34*G34</f>
        <v>0</v>
      </c>
      <c r="BK34" s="456"/>
      <c r="BL34" s="456">
        <v>11</v>
      </c>
      <c r="BW34" s="456">
        <v>21</v>
      </c>
      <c r="BX34" s="459" t="s">
        <v>677</v>
      </c>
    </row>
    <row r="35" spans="1:76" ht="13.5">
      <c r="A35" s="460"/>
      <c r="C35" s="461" t="s">
        <v>1477</v>
      </c>
      <c r="D35" s="461" t="s">
        <v>648</v>
      </c>
      <c r="F35" s="462">
        <v>132.80000000000001</v>
      </c>
      <c r="K35" s="463"/>
    </row>
    <row r="36" spans="1:76" ht="13.5">
      <c r="A36" s="454" t="s">
        <v>694</v>
      </c>
      <c r="B36" s="455" t="s">
        <v>680</v>
      </c>
      <c r="C36" s="428" t="s">
        <v>681</v>
      </c>
      <c r="D36" s="424"/>
      <c r="E36" s="455" t="s">
        <v>40</v>
      </c>
      <c r="F36" s="456">
        <v>132.80000000000001</v>
      </c>
      <c r="G36" s="456">
        <v>0</v>
      </c>
      <c r="H36" s="456">
        <f>F36*AO36</f>
        <v>0</v>
      </c>
      <c r="I36" s="456">
        <f>F36*AP36</f>
        <v>0</v>
      </c>
      <c r="J36" s="456">
        <f>F36*G36</f>
        <v>0</v>
      </c>
      <c r="K36" s="457" t="s">
        <v>1410</v>
      </c>
      <c r="Z36" s="456">
        <f>IF(AQ36="5",BJ36,0)</f>
        <v>0</v>
      </c>
      <c r="AB36" s="456">
        <f>IF(AQ36="1",BH36,0)</f>
        <v>0</v>
      </c>
      <c r="AC36" s="456">
        <f>IF(AQ36="1",BI36,0)</f>
        <v>0</v>
      </c>
      <c r="AD36" s="456">
        <f>IF(AQ36="7",BH36,0)</f>
        <v>0</v>
      </c>
      <c r="AE36" s="456">
        <f>IF(AQ36="7",BI36,0)</f>
        <v>0</v>
      </c>
      <c r="AF36" s="456">
        <f>IF(AQ36="2",BH36,0)</f>
        <v>0</v>
      </c>
      <c r="AG36" s="456">
        <f>IF(AQ36="2",BI36,0)</f>
        <v>0</v>
      </c>
      <c r="AH36" s="456">
        <f>IF(AQ36="0",BJ36,0)</f>
        <v>0</v>
      </c>
      <c r="AI36" s="438" t="s">
        <v>648</v>
      </c>
      <c r="AJ36" s="456">
        <f>IF(AN36=0,J36,0)</f>
        <v>0</v>
      </c>
      <c r="AK36" s="456">
        <f>IF(AN36=12,J36,0)</f>
        <v>0</v>
      </c>
      <c r="AL36" s="456">
        <f>IF(AN36=21,J36,0)</f>
        <v>0</v>
      </c>
      <c r="AN36" s="456">
        <v>21</v>
      </c>
      <c r="AO36" s="456">
        <f>G36*0</f>
        <v>0</v>
      </c>
      <c r="AP36" s="456">
        <f>G36*(1-0)</f>
        <v>0</v>
      </c>
      <c r="AQ36" s="458" t="s">
        <v>651</v>
      </c>
      <c r="AV36" s="456">
        <f>AW36+AX36</f>
        <v>0</v>
      </c>
      <c r="AW36" s="456">
        <f>F36*AO36</f>
        <v>0</v>
      </c>
      <c r="AX36" s="456">
        <f>F36*AP36</f>
        <v>0</v>
      </c>
      <c r="AY36" s="458" t="s">
        <v>663</v>
      </c>
      <c r="AZ36" s="458" t="s">
        <v>664</v>
      </c>
      <c r="BA36" s="438" t="s">
        <v>656</v>
      </c>
      <c r="BC36" s="456">
        <f>AW36+AX36</f>
        <v>0</v>
      </c>
      <c r="BD36" s="456">
        <f>G36/(100-BE36)*100</f>
        <v>0</v>
      </c>
      <c r="BE36" s="456">
        <v>0</v>
      </c>
      <c r="BF36" s="456">
        <f>36</f>
        <v>36</v>
      </c>
      <c r="BH36" s="456">
        <f>F36*AO36</f>
        <v>0</v>
      </c>
      <c r="BI36" s="456">
        <f>F36*AP36</f>
        <v>0</v>
      </c>
      <c r="BJ36" s="456">
        <f>F36*G36</f>
        <v>0</v>
      </c>
      <c r="BK36" s="456"/>
      <c r="BL36" s="456">
        <v>11</v>
      </c>
      <c r="BW36" s="456">
        <v>21</v>
      </c>
      <c r="BX36" s="459" t="s">
        <v>681</v>
      </c>
    </row>
    <row r="37" spans="1:76" ht="13.5">
      <c r="A37" s="460"/>
      <c r="C37" s="461" t="s">
        <v>1478</v>
      </c>
      <c r="D37" s="461" t="s">
        <v>648</v>
      </c>
      <c r="F37" s="462">
        <v>132.80000000000001</v>
      </c>
      <c r="K37" s="463"/>
    </row>
    <row r="38" spans="1:76" ht="13.5">
      <c r="A38" s="448" t="s">
        <v>648</v>
      </c>
      <c r="B38" s="449" t="s">
        <v>682</v>
      </c>
      <c r="C38" s="450" t="s">
        <v>683</v>
      </c>
      <c r="D38" s="451"/>
      <c r="E38" s="452" t="s">
        <v>607</v>
      </c>
      <c r="F38" s="452" t="s">
        <v>607</v>
      </c>
      <c r="G38" s="452" t="s">
        <v>607</v>
      </c>
      <c r="H38" s="416">
        <f>SUM(H39:H72)</f>
        <v>0</v>
      </c>
      <c r="I38" s="416">
        <f>SUM(I39:I72)</f>
        <v>0</v>
      </c>
      <c r="J38" s="416">
        <f>SUM(J39:J72)</f>
        <v>0</v>
      </c>
      <c r="K38" s="453" t="s">
        <v>648</v>
      </c>
      <c r="AI38" s="438" t="s">
        <v>648</v>
      </c>
      <c r="AS38" s="416">
        <f>SUM(AJ39:AJ72)</f>
        <v>0</v>
      </c>
      <c r="AT38" s="416">
        <f>SUM(AK39:AK72)</f>
        <v>0</v>
      </c>
      <c r="AU38" s="416">
        <f>SUM(AL39:AL72)</f>
        <v>0</v>
      </c>
    </row>
    <row r="39" spans="1:76" ht="13.5">
      <c r="A39" s="454" t="s">
        <v>658</v>
      </c>
      <c r="B39" s="455" t="s">
        <v>685</v>
      </c>
      <c r="C39" s="428" t="s">
        <v>686</v>
      </c>
      <c r="D39" s="424"/>
      <c r="E39" s="455" t="s">
        <v>687</v>
      </c>
      <c r="F39" s="456">
        <v>16.649999999999999</v>
      </c>
      <c r="G39" s="456">
        <v>0</v>
      </c>
      <c r="H39" s="456">
        <f>F39*AO39</f>
        <v>0</v>
      </c>
      <c r="I39" s="456">
        <f>F39*AP39</f>
        <v>0</v>
      </c>
      <c r="J39" s="456">
        <f>F39*G39</f>
        <v>0</v>
      </c>
      <c r="K39" s="457" t="s">
        <v>1410</v>
      </c>
      <c r="Z39" s="456">
        <f>IF(AQ39="5",BJ39,0)</f>
        <v>0</v>
      </c>
      <c r="AB39" s="456">
        <f>IF(AQ39="1",BH39,0)</f>
        <v>0</v>
      </c>
      <c r="AC39" s="456">
        <f>IF(AQ39="1",BI39,0)</f>
        <v>0</v>
      </c>
      <c r="AD39" s="456">
        <f>IF(AQ39="7",BH39,0)</f>
        <v>0</v>
      </c>
      <c r="AE39" s="456">
        <f>IF(AQ39="7",BI39,0)</f>
        <v>0</v>
      </c>
      <c r="AF39" s="456">
        <f>IF(AQ39="2",BH39,0)</f>
        <v>0</v>
      </c>
      <c r="AG39" s="456">
        <f>IF(AQ39="2",BI39,0)</f>
        <v>0</v>
      </c>
      <c r="AH39" s="456">
        <f>IF(AQ39="0",BJ39,0)</f>
        <v>0</v>
      </c>
      <c r="AI39" s="438" t="s">
        <v>648</v>
      </c>
      <c r="AJ39" s="456">
        <f>IF(AN39=0,J39,0)</f>
        <v>0</v>
      </c>
      <c r="AK39" s="456">
        <f>IF(AN39=12,J39,0)</f>
        <v>0</v>
      </c>
      <c r="AL39" s="456">
        <f>IF(AN39=21,J39,0)</f>
        <v>0</v>
      </c>
      <c r="AN39" s="456">
        <v>21</v>
      </c>
      <c r="AO39" s="456">
        <f>G39*0</f>
        <v>0</v>
      </c>
      <c r="AP39" s="456">
        <f>G39*(1-0)</f>
        <v>0</v>
      </c>
      <c r="AQ39" s="458" t="s">
        <v>651</v>
      </c>
      <c r="AV39" s="456">
        <f>AW39+AX39</f>
        <v>0</v>
      </c>
      <c r="AW39" s="456">
        <f>F39*AO39</f>
        <v>0</v>
      </c>
      <c r="AX39" s="456">
        <f>F39*AP39</f>
        <v>0</v>
      </c>
      <c r="AY39" s="458" t="s">
        <v>688</v>
      </c>
      <c r="AZ39" s="458" t="s">
        <v>664</v>
      </c>
      <c r="BA39" s="438" t="s">
        <v>656</v>
      </c>
      <c r="BC39" s="456">
        <f>AW39+AX39</f>
        <v>0</v>
      </c>
      <c r="BD39" s="456">
        <f>G39/(100-BE39)*100</f>
        <v>0</v>
      </c>
      <c r="BE39" s="456">
        <v>0</v>
      </c>
      <c r="BF39" s="456">
        <f>39</f>
        <v>39</v>
      </c>
      <c r="BH39" s="456">
        <f>F39*AO39</f>
        <v>0</v>
      </c>
      <c r="BI39" s="456">
        <f>F39*AP39</f>
        <v>0</v>
      </c>
      <c r="BJ39" s="456">
        <f>F39*G39</f>
        <v>0</v>
      </c>
      <c r="BK39" s="456"/>
      <c r="BL39" s="456">
        <v>13</v>
      </c>
      <c r="BW39" s="456">
        <v>21</v>
      </c>
      <c r="BX39" s="459" t="s">
        <v>686</v>
      </c>
    </row>
    <row r="40" spans="1:76" ht="13.5">
      <c r="A40" s="460"/>
      <c r="C40" s="461" t="s">
        <v>689</v>
      </c>
      <c r="D40" s="461" t="s">
        <v>648</v>
      </c>
      <c r="F40" s="462">
        <v>16.649999999999999</v>
      </c>
      <c r="K40" s="463"/>
    </row>
    <row r="41" spans="1:76" ht="13.5">
      <c r="A41" s="454" t="s">
        <v>700</v>
      </c>
      <c r="B41" s="455" t="s">
        <v>691</v>
      </c>
      <c r="C41" s="428" t="s">
        <v>692</v>
      </c>
      <c r="D41" s="424"/>
      <c r="E41" s="455" t="s">
        <v>687</v>
      </c>
      <c r="F41" s="456">
        <v>3.33</v>
      </c>
      <c r="G41" s="456">
        <v>0</v>
      </c>
      <c r="H41" s="456">
        <f>F41*AO41</f>
        <v>0</v>
      </c>
      <c r="I41" s="456">
        <f>F41*AP41</f>
        <v>0</v>
      </c>
      <c r="J41" s="456">
        <f>F41*G41</f>
        <v>0</v>
      </c>
      <c r="K41" s="457" t="s">
        <v>1410</v>
      </c>
      <c r="Z41" s="456">
        <f>IF(AQ41="5",BJ41,0)</f>
        <v>0</v>
      </c>
      <c r="AB41" s="456">
        <f>IF(AQ41="1",BH41,0)</f>
        <v>0</v>
      </c>
      <c r="AC41" s="456">
        <f>IF(AQ41="1",BI41,0)</f>
        <v>0</v>
      </c>
      <c r="AD41" s="456">
        <f>IF(AQ41="7",BH41,0)</f>
        <v>0</v>
      </c>
      <c r="AE41" s="456">
        <f>IF(AQ41="7",BI41,0)</f>
        <v>0</v>
      </c>
      <c r="AF41" s="456">
        <f>IF(AQ41="2",BH41,0)</f>
        <v>0</v>
      </c>
      <c r="AG41" s="456">
        <f>IF(AQ41="2",BI41,0)</f>
        <v>0</v>
      </c>
      <c r="AH41" s="456">
        <f>IF(AQ41="0",BJ41,0)</f>
        <v>0</v>
      </c>
      <c r="AI41" s="438" t="s">
        <v>648</v>
      </c>
      <c r="AJ41" s="456">
        <f>IF(AN41=0,J41,0)</f>
        <v>0</v>
      </c>
      <c r="AK41" s="456">
        <f>IF(AN41=12,J41,0)</f>
        <v>0</v>
      </c>
      <c r="AL41" s="456">
        <f>IF(AN41=21,J41,0)</f>
        <v>0</v>
      </c>
      <c r="AN41" s="456">
        <v>21</v>
      </c>
      <c r="AO41" s="456">
        <f>G41*0</f>
        <v>0</v>
      </c>
      <c r="AP41" s="456">
        <f>G41*(1-0)</f>
        <v>0</v>
      </c>
      <c r="AQ41" s="458" t="s">
        <v>651</v>
      </c>
      <c r="AV41" s="456">
        <f>AW41+AX41</f>
        <v>0</v>
      </c>
      <c r="AW41" s="456">
        <f>F41*AO41</f>
        <v>0</v>
      </c>
      <c r="AX41" s="456">
        <f>F41*AP41</f>
        <v>0</v>
      </c>
      <c r="AY41" s="458" t="s">
        <v>688</v>
      </c>
      <c r="AZ41" s="458" t="s">
        <v>664</v>
      </c>
      <c r="BA41" s="438" t="s">
        <v>656</v>
      </c>
      <c r="BC41" s="456">
        <f>AW41+AX41</f>
        <v>0</v>
      </c>
      <c r="BD41" s="456">
        <f>G41/(100-BE41)*100</f>
        <v>0</v>
      </c>
      <c r="BE41" s="456">
        <v>0</v>
      </c>
      <c r="BF41" s="456">
        <f>41</f>
        <v>41</v>
      </c>
      <c r="BH41" s="456">
        <f>F41*AO41</f>
        <v>0</v>
      </c>
      <c r="BI41" s="456">
        <f>F41*AP41</f>
        <v>0</v>
      </c>
      <c r="BJ41" s="456">
        <f>F41*G41</f>
        <v>0</v>
      </c>
      <c r="BK41" s="456"/>
      <c r="BL41" s="456">
        <v>13</v>
      </c>
      <c r="BW41" s="456">
        <v>21</v>
      </c>
      <c r="BX41" s="459" t="s">
        <v>692</v>
      </c>
    </row>
    <row r="42" spans="1:76" ht="13.5">
      <c r="A42" s="460"/>
      <c r="C42" s="461" t="s">
        <v>693</v>
      </c>
      <c r="D42" s="461" t="s">
        <v>648</v>
      </c>
      <c r="F42" s="462">
        <v>3.33</v>
      </c>
      <c r="K42" s="463"/>
    </row>
    <row r="43" spans="1:76" ht="13.5">
      <c r="A43" s="454" t="s">
        <v>682</v>
      </c>
      <c r="B43" s="455" t="s">
        <v>695</v>
      </c>
      <c r="C43" s="428" t="s">
        <v>696</v>
      </c>
      <c r="D43" s="424"/>
      <c r="E43" s="455" t="s">
        <v>687</v>
      </c>
      <c r="F43" s="456">
        <v>802.29732999999999</v>
      </c>
      <c r="G43" s="456">
        <v>0</v>
      </c>
      <c r="H43" s="456">
        <f>F43*AO43</f>
        <v>0</v>
      </c>
      <c r="I43" s="456">
        <f>F43*AP43</f>
        <v>0</v>
      </c>
      <c r="J43" s="456">
        <f>F43*G43</f>
        <v>0</v>
      </c>
      <c r="K43" s="457" t="s">
        <v>1410</v>
      </c>
      <c r="Z43" s="456">
        <f>IF(AQ43="5",BJ43,0)</f>
        <v>0</v>
      </c>
      <c r="AB43" s="456">
        <f>IF(AQ43="1",BH43,0)</f>
        <v>0</v>
      </c>
      <c r="AC43" s="456">
        <f>IF(AQ43="1",BI43,0)</f>
        <v>0</v>
      </c>
      <c r="AD43" s="456">
        <f>IF(AQ43="7",BH43,0)</f>
        <v>0</v>
      </c>
      <c r="AE43" s="456">
        <f>IF(AQ43="7",BI43,0)</f>
        <v>0</v>
      </c>
      <c r="AF43" s="456">
        <f>IF(AQ43="2",BH43,0)</f>
        <v>0</v>
      </c>
      <c r="AG43" s="456">
        <f>IF(AQ43="2",BI43,0)</f>
        <v>0</v>
      </c>
      <c r="AH43" s="456">
        <f>IF(AQ43="0",BJ43,0)</f>
        <v>0</v>
      </c>
      <c r="AI43" s="438" t="s">
        <v>648</v>
      </c>
      <c r="AJ43" s="456">
        <f>IF(AN43=0,J43,0)</f>
        <v>0</v>
      </c>
      <c r="AK43" s="456">
        <f>IF(AN43=12,J43,0)</f>
        <v>0</v>
      </c>
      <c r="AL43" s="456">
        <f>IF(AN43=21,J43,0)</f>
        <v>0</v>
      </c>
      <c r="AN43" s="456">
        <v>21</v>
      </c>
      <c r="AO43" s="456">
        <f>G43*0.039986873</f>
        <v>0</v>
      </c>
      <c r="AP43" s="456">
        <f>G43*(1-0.039986873)</f>
        <v>0</v>
      </c>
      <c r="AQ43" s="458" t="s">
        <v>651</v>
      </c>
      <c r="AV43" s="456">
        <f>AW43+AX43</f>
        <v>0</v>
      </c>
      <c r="AW43" s="456">
        <f>F43*AO43</f>
        <v>0</v>
      </c>
      <c r="AX43" s="456">
        <f>F43*AP43</f>
        <v>0</v>
      </c>
      <c r="AY43" s="458" t="s">
        <v>688</v>
      </c>
      <c r="AZ43" s="458" t="s">
        <v>664</v>
      </c>
      <c r="BA43" s="438" t="s">
        <v>656</v>
      </c>
      <c r="BC43" s="456">
        <f>AW43+AX43</f>
        <v>0</v>
      </c>
      <c r="BD43" s="456">
        <f>G43/(100-BE43)*100</f>
        <v>0</v>
      </c>
      <c r="BE43" s="456">
        <v>0</v>
      </c>
      <c r="BF43" s="456">
        <f>43</f>
        <v>43</v>
      </c>
      <c r="BH43" s="456">
        <f>F43*AO43</f>
        <v>0</v>
      </c>
      <c r="BI43" s="456">
        <f>F43*AP43</f>
        <v>0</v>
      </c>
      <c r="BJ43" s="456">
        <f>F43*G43</f>
        <v>0</v>
      </c>
      <c r="BK43" s="456"/>
      <c r="BL43" s="456">
        <v>13</v>
      </c>
      <c r="BW43" s="456">
        <v>21</v>
      </c>
      <c r="BX43" s="459" t="s">
        <v>696</v>
      </c>
    </row>
    <row r="44" spans="1:76" ht="13.5">
      <c r="A44" s="460"/>
      <c r="C44" s="461" t="s">
        <v>1479</v>
      </c>
      <c r="D44" s="461" t="s">
        <v>648</v>
      </c>
      <c r="F44" s="462">
        <v>197.70750000000001</v>
      </c>
      <c r="K44" s="463"/>
    </row>
    <row r="45" spans="1:76" ht="13.5">
      <c r="A45" s="460"/>
      <c r="C45" s="461" t="s">
        <v>1480</v>
      </c>
      <c r="D45" s="461" t="s">
        <v>648</v>
      </c>
      <c r="F45" s="462">
        <v>7.9749999999999996</v>
      </c>
      <c r="K45" s="463"/>
    </row>
    <row r="46" spans="1:76" ht="13.5">
      <c r="A46" s="460"/>
      <c r="C46" s="461" t="s">
        <v>1481</v>
      </c>
      <c r="D46" s="461" t="s">
        <v>648</v>
      </c>
      <c r="F46" s="462">
        <v>56.695</v>
      </c>
      <c r="K46" s="463"/>
    </row>
    <row r="47" spans="1:76" ht="13.5">
      <c r="A47" s="460"/>
      <c r="C47" s="461" t="s">
        <v>671</v>
      </c>
      <c r="D47" s="461" t="s">
        <v>648</v>
      </c>
      <c r="F47" s="462">
        <v>0</v>
      </c>
      <c r="K47" s="463"/>
    </row>
    <row r="48" spans="1:76" ht="13.5">
      <c r="A48" s="460"/>
      <c r="C48" s="461" t="s">
        <v>1482</v>
      </c>
      <c r="D48" s="461" t="s">
        <v>648</v>
      </c>
      <c r="F48" s="462">
        <v>37.094630000000002</v>
      </c>
      <c r="K48" s="463"/>
    </row>
    <row r="49" spans="1:76" ht="13.5">
      <c r="A49" s="460"/>
      <c r="C49" s="461" t="s">
        <v>1483</v>
      </c>
      <c r="D49" s="461" t="s">
        <v>648</v>
      </c>
      <c r="F49" s="462">
        <v>138.59100000000001</v>
      </c>
      <c r="K49" s="463"/>
    </row>
    <row r="50" spans="1:76" ht="13.5">
      <c r="A50" s="460"/>
      <c r="C50" s="461" t="s">
        <v>678</v>
      </c>
      <c r="D50" s="461" t="s">
        <v>648</v>
      </c>
      <c r="F50" s="462">
        <v>0</v>
      </c>
      <c r="K50" s="463"/>
    </row>
    <row r="51" spans="1:76" ht="13.5">
      <c r="A51" s="460"/>
      <c r="C51" s="461" t="s">
        <v>1484</v>
      </c>
      <c r="D51" s="461" t="s">
        <v>648</v>
      </c>
      <c r="F51" s="462">
        <v>364.23419999999999</v>
      </c>
      <c r="K51" s="463"/>
    </row>
    <row r="52" spans="1:76" ht="13.5">
      <c r="A52" s="460"/>
      <c r="C52" s="461" t="s">
        <v>672</v>
      </c>
      <c r="D52" s="461" t="s">
        <v>648</v>
      </c>
      <c r="F52" s="462">
        <v>0</v>
      </c>
      <c r="K52" s="463"/>
    </row>
    <row r="53" spans="1:76" ht="13.5">
      <c r="A53" s="454" t="s">
        <v>709</v>
      </c>
      <c r="B53" s="455" t="s">
        <v>698</v>
      </c>
      <c r="C53" s="428" t="s">
        <v>699</v>
      </c>
      <c r="D53" s="424"/>
      <c r="E53" s="455" t="s">
        <v>687</v>
      </c>
      <c r="F53" s="456">
        <v>160.45947000000001</v>
      </c>
      <c r="G53" s="456">
        <v>0</v>
      </c>
      <c r="H53" s="456">
        <f>F53*AO53</f>
        <v>0</v>
      </c>
      <c r="I53" s="456">
        <f>F53*AP53</f>
        <v>0</v>
      </c>
      <c r="J53" s="456">
        <f>F53*G53</f>
        <v>0</v>
      </c>
      <c r="K53" s="457" t="s">
        <v>1410</v>
      </c>
      <c r="Z53" s="456">
        <f>IF(AQ53="5",BJ53,0)</f>
        <v>0</v>
      </c>
      <c r="AB53" s="456">
        <f>IF(AQ53="1",BH53,0)</f>
        <v>0</v>
      </c>
      <c r="AC53" s="456">
        <f>IF(AQ53="1",BI53,0)</f>
        <v>0</v>
      </c>
      <c r="AD53" s="456">
        <f>IF(AQ53="7",BH53,0)</f>
        <v>0</v>
      </c>
      <c r="AE53" s="456">
        <f>IF(AQ53="7",BI53,0)</f>
        <v>0</v>
      </c>
      <c r="AF53" s="456">
        <f>IF(AQ53="2",BH53,0)</f>
        <v>0</v>
      </c>
      <c r="AG53" s="456">
        <f>IF(AQ53="2",BI53,0)</f>
        <v>0</v>
      </c>
      <c r="AH53" s="456">
        <f>IF(AQ53="0",BJ53,0)</f>
        <v>0</v>
      </c>
      <c r="AI53" s="438" t="s">
        <v>648</v>
      </c>
      <c r="AJ53" s="456">
        <f>IF(AN53=0,J53,0)</f>
        <v>0</v>
      </c>
      <c r="AK53" s="456">
        <f>IF(AN53=12,J53,0)</f>
        <v>0</v>
      </c>
      <c r="AL53" s="456">
        <f>IF(AN53=21,J53,0)</f>
        <v>0</v>
      </c>
      <c r="AN53" s="456">
        <v>21</v>
      </c>
      <c r="AO53" s="456">
        <f>G53*0</f>
        <v>0</v>
      </c>
      <c r="AP53" s="456">
        <f>G53*(1-0)</f>
        <v>0</v>
      </c>
      <c r="AQ53" s="458" t="s">
        <v>651</v>
      </c>
      <c r="AV53" s="456">
        <f>AW53+AX53</f>
        <v>0</v>
      </c>
      <c r="AW53" s="456">
        <f>F53*AO53</f>
        <v>0</v>
      </c>
      <c r="AX53" s="456">
        <f>F53*AP53</f>
        <v>0</v>
      </c>
      <c r="AY53" s="458" t="s">
        <v>688</v>
      </c>
      <c r="AZ53" s="458" t="s">
        <v>664</v>
      </c>
      <c r="BA53" s="438" t="s">
        <v>656</v>
      </c>
      <c r="BC53" s="456">
        <f>AW53+AX53</f>
        <v>0</v>
      </c>
      <c r="BD53" s="456">
        <f>G53/(100-BE53)*100</f>
        <v>0</v>
      </c>
      <c r="BE53" s="456">
        <v>0</v>
      </c>
      <c r="BF53" s="456">
        <f>53</f>
        <v>53</v>
      </c>
      <c r="BH53" s="456">
        <f>F53*AO53</f>
        <v>0</v>
      </c>
      <c r="BI53" s="456">
        <f>F53*AP53</f>
        <v>0</v>
      </c>
      <c r="BJ53" s="456">
        <f>F53*G53</f>
        <v>0</v>
      </c>
      <c r="BK53" s="456"/>
      <c r="BL53" s="456">
        <v>13</v>
      </c>
      <c r="BW53" s="456">
        <v>21</v>
      </c>
      <c r="BX53" s="459" t="s">
        <v>699</v>
      </c>
    </row>
    <row r="54" spans="1:76" ht="13.5">
      <c r="A54" s="460"/>
      <c r="C54" s="461" t="s">
        <v>1485</v>
      </c>
      <c r="D54" s="461" t="s">
        <v>648</v>
      </c>
      <c r="F54" s="462">
        <v>160.45947000000001</v>
      </c>
      <c r="K54" s="463"/>
    </row>
    <row r="55" spans="1:76" ht="13.5">
      <c r="A55" s="454" t="s">
        <v>704</v>
      </c>
      <c r="B55" s="455" t="s">
        <v>701</v>
      </c>
      <c r="C55" s="428" t="s">
        <v>702</v>
      </c>
      <c r="D55" s="424"/>
      <c r="E55" s="455" t="s">
        <v>7</v>
      </c>
      <c r="F55" s="456">
        <v>982.08</v>
      </c>
      <c r="G55" s="456">
        <v>0</v>
      </c>
      <c r="H55" s="456">
        <f>F55*AO55</f>
        <v>0</v>
      </c>
      <c r="I55" s="456">
        <f>F55*AP55</f>
        <v>0</v>
      </c>
      <c r="J55" s="456">
        <f>F55*G55</f>
        <v>0</v>
      </c>
      <c r="K55" s="457" t="s">
        <v>1410</v>
      </c>
      <c r="Z55" s="456">
        <f>IF(AQ55="5",BJ55,0)</f>
        <v>0</v>
      </c>
      <c r="AB55" s="456">
        <f>IF(AQ55="1",BH55,0)</f>
        <v>0</v>
      </c>
      <c r="AC55" s="456">
        <f>IF(AQ55="1",BI55,0)</f>
        <v>0</v>
      </c>
      <c r="AD55" s="456">
        <f>IF(AQ55="7",BH55,0)</f>
        <v>0</v>
      </c>
      <c r="AE55" s="456">
        <f>IF(AQ55="7",BI55,0)</f>
        <v>0</v>
      </c>
      <c r="AF55" s="456">
        <f>IF(AQ55="2",BH55,0)</f>
        <v>0</v>
      </c>
      <c r="AG55" s="456">
        <f>IF(AQ55="2",BI55,0)</f>
        <v>0</v>
      </c>
      <c r="AH55" s="456">
        <f>IF(AQ55="0",BJ55,0)</f>
        <v>0</v>
      </c>
      <c r="AI55" s="438" t="s">
        <v>648</v>
      </c>
      <c r="AJ55" s="456">
        <f>IF(AN55=0,J55,0)</f>
        <v>0</v>
      </c>
      <c r="AK55" s="456">
        <f>IF(AN55=12,J55,0)</f>
        <v>0</v>
      </c>
      <c r="AL55" s="456">
        <f>IF(AN55=21,J55,0)</f>
        <v>0</v>
      </c>
      <c r="AN55" s="456">
        <v>21</v>
      </c>
      <c r="AO55" s="456">
        <f>G55*0</f>
        <v>0</v>
      </c>
      <c r="AP55" s="456">
        <f>G55*(1-0)</f>
        <v>0</v>
      </c>
      <c r="AQ55" s="458" t="s">
        <v>651</v>
      </c>
      <c r="AV55" s="456">
        <f>AW55+AX55</f>
        <v>0</v>
      </c>
      <c r="AW55" s="456">
        <f>F55*AO55</f>
        <v>0</v>
      </c>
      <c r="AX55" s="456">
        <f>F55*AP55</f>
        <v>0</v>
      </c>
      <c r="AY55" s="458" t="s">
        <v>688</v>
      </c>
      <c r="AZ55" s="458" t="s">
        <v>664</v>
      </c>
      <c r="BA55" s="438" t="s">
        <v>656</v>
      </c>
      <c r="BC55" s="456">
        <f>AW55+AX55</f>
        <v>0</v>
      </c>
      <c r="BD55" s="456">
        <f>G55/(100-BE55)*100</f>
        <v>0</v>
      </c>
      <c r="BE55" s="456">
        <v>0</v>
      </c>
      <c r="BF55" s="456">
        <f>55</f>
        <v>55</v>
      </c>
      <c r="BH55" s="456">
        <f>F55*AO55</f>
        <v>0</v>
      </c>
      <c r="BI55" s="456">
        <f>F55*AP55</f>
        <v>0</v>
      </c>
      <c r="BJ55" s="456">
        <f>F55*G55</f>
        <v>0</v>
      </c>
      <c r="BK55" s="456"/>
      <c r="BL55" s="456">
        <v>13</v>
      </c>
      <c r="BW55" s="456">
        <v>21</v>
      </c>
      <c r="BX55" s="459" t="s">
        <v>702</v>
      </c>
    </row>
    <row r="56" spans="1:76" ht="13.5">
      <c r="A56" s="460"/>
      <c r="C56" s="461" t="s">
        <v>703</v>
      </c>
      <c r="D56" s="461" t="s">
        <v>648</v>
      </c>
      <c r="F56" s="462">
        <v>261.2</v>
      </c>
      <c r="K56" s="463"/>
    </row>
    <row r="57" spans="1:76" ht="13.5">
      <c r="A57" s="460"/>
      <c r="C57" s="461" t="s">
        <v>1342</v>
      </c>
      <c r="D57" s="461" t="s">
        <v>648</v>
      </c>
      <c r="F57" s="462">
        <v>33</v>
      </c>
      <c r="K57" s="463"/>
    </row>
    <row r="58" spans="1:76" ht="13.5">
      <c r="A58" s="460"/>
      <c r="C58" s="461" t="s">
        <v>1343</v>
      </c>
      <c r="D58" s="461" t="s">
        <v>648</v>
      </c>
      <c r="F58" s="462">
        <v>72.95</v>
      </c>
      <c r="K58" s="463"/>
    </row>
    <row r="59" spans="1:76" ht="13.5">
      <c r="A59" s="460"/>
      <c r="C59" s="461" t="s">
        <v>1344</v>
      </c>
      <c r="D59" s="461" t="s">
        <v>648</v>
      </c>
      <c r="F59" s="462">
        <v>41.75</v>
      </c>
      <c r="K59" s="463"/>
    </row>
    <row r="60" spans="1:76" ht="13.5">
      <c r="A60" s="460"/>
      <c r="C60" s="461" t="s">
        <v>1345</v>
      </c>
      <c r="D60" s="461" t="s">
        <v>648</v>
      </c>
      <c r="F60" s="462">
        <v>573.17999999999995</v>
      </c>
      <c r="K60" s="463"/>
    </row>
    <row r="61" spans="1:76" ht="13.5">
      <c r="A61" s="454" t="s">
        <v>715</v>
      </c>
      <c r="B61" s="455" t="s">
        <v>1414</v>
      </c>
      <c r="C61" s="428" t="s">
        <v>1415</v>
      </c>
      <c r="D61" s="424"/>
      <c r="E61" s="455" t="s">
        <v>687</v>
      </c>
      <c r="F61" s="456">
        <v>1070.0797</v>
      </c>
      <c r="G61" s="456">
        <v>0</v>
      </c>
      <c r="H61" s="456">
        <f>F61*AO61</f>
        <v>0</v>
      </c>
      <c r="I61" s="456">
        <f>F61*AP61</f>
        <v>0</v>
      </c>
      <c r="J61" s="456">
        <f>F61*G61</f>
        <v>0</v>
      </c>
      <c r="K61" s="457" t="s">
        <v>1410</v>
      </c>
      <c r="Z61" s="456">
        <f>IF(AQ61="5",BJ61,0)</f>
        <v>0</v>
      </c>
      <c r="AB61" s="456">
        <f>IF(AQ61="1",BH61,0)</f>
        <v>0</v>
      </c>
      <c r="AC61" s="456">
        <f>IF(AQ61="1",BI61,0)</f>
        <v>0</v>
      </c>
      <c r="AD61" s="456">
        <f>IF(AQ61="7",BH61,0)</f>
        <v>0</v>
      </c>
      <c r="AE61" s="456">
        <f>IF(AQ61="7",BI61,0)</f>
        <v>0</v>
      </c>
      <c r="AF61" s="456">
        <f>IF(AQ61="2",BH61,0)</f>
        <v>0</v>
      </c>
      <c r="AG61" s="456">
        <f>IF(AQ61="2",BI61,0)</f>
        <v>0</v>
      </c>
      <c r="AH61" s="456">
        <f>IF(AQ61="0",BJ61,0)</f>
        <v>0</v>
      </c>
      <c r="AI61" s="438" t="s">
        <v>648</v>
      </c>
      <c r="AJ61" s="456">
        <f>IF(AN61=0,J61,0)</f>
        <v>0</v>
      </c>
      <c r="AK61" s="456">
        <f>IF(AN61=12,J61,0)</f>
        <v>0</v>
      </c>
      <c r="AL61" s="456">
        <f>IF(AN61=21,J61,0)</f>
        <v>0</v>
      </c>
      <c r="AN61" s="456">
        <v>21</v>
      </c>
      <c r="AO61" s="456">
        <f>G61*0</f>
        <v>0</v>
      </c>
      <c r="AP61" s="456">
        <f>G61*(1-0)</f>
        <v>0</v>
      </c>
      <c r="AQ61" s="458" t="s">
        <v>651</v>
      </c>
      <c r="AV61" s="456">
        <f>AW61+AX61</f>
        <v>0</v>
      </c>
      <c r="AW61" s="456">
        <f>F61*AO61</f>
        <v>0</v>
      </c>
      <c r="AX61" s="456">
        <f>F61*AP61</f>
        <v>0</v>
      </c>
      <c r="AY61" s="458" t="s">
        <v>688</v>
      </c>
      <c r="AZ61" s="458" t="s">
        <v>664</v>
      </c>
      <c r="BA61" s="438" t="s">
        <v>656</v>
      </c>
      <c r="BC61" s="456">
        <f>AW61+AX61</f>
        <v>0</v>
      </c>
      <c r="BD61" s="456">
        <f>G61/(100-BE61)*100</f>
        <v>0</v>
      </c>
      <c r="BE61" s="456">
        <v>0</v>
      </c>
      <c r="BF61" s="456">
        <f>61</f>
        <v>61</v>
      </c>
      <c r="BH61" s="456">
        <f>F61*AO61</f>
        <v>0</v>
      </c>
      <c r="BI61" s="456">
        <f>F61*AP61</f>
        <v>0</v>
      </c>
      <c r="BJ61" s="456">
        <f>F61*G61</f>
        <v>0</v>
      </c>
      <c r="BK61" s="456"/>
      <c r="BL61" s="456">
        <v>13</v>
      </c>
      <c r="BW61" s="456">
        <v>21</v>
      </c>
      <c r="BX61" s="459" t="s">
        <v>1415</v>
      </c>
    </row>
    <row r="62" spans="1:76" ht="13.5">
      <c r="A62" s="460"/>
      <c r="C62" s="461" t="s">
        <v>1486</v>
      </c>
      <c r="D62" s="461" t="s">
        <v>648</v>
      </c>
      <c r="F62" s="462">
        <v>182.7</v>
      </c>
      <c r="K62" s="463"/>
    </row>
    <row r="63" spans="1:76" ht="13.5">
      <c r="A63" s="460"/>
      <c r="C63" s="461" t="s">
        <v>1487</v>
      </c>
      <c r="D63" s="461" t="s">
        <v>648</v>
      </c>
      <c r="F63" s="462">
        <v>40.164999999999999</v>
      </c>
      <c r="K63" s="463"/>
    </row>
    <row r="64" spans="1:76" ht="13.5">
      <c r="A64" s="460"/>
      <c r="C64" s="461" t="s">
        <v>1488</v>
      </c>
      <c r="D64" s="461" t="s">
        <v>648</v>
      </c>
      <c r="F64" s="462">
        <v>50.314999999999998</v>
      </c>
      <c r="K64" s="463"/>
    </row>
    <row r="65" spans="1:76" ht="13.5">
      <c r="A65" s="460"/>
      <c r="C65" s="461" t="s">
        <v>671</v>
      </c>
      <c r="D65" s="461" t="s">
        <v>648</v>
      </c>
      <c r="F65" s="462">
        <v>0</v>
      </c>
      <c r="K65" s="463"/>
    </row>
    <row r="66" spans="1:76" ht="13.5">
      <c r="A66" s="460"/>
      <c r="C66" s="461" t="s">
        <v>1489</v>
      </c>
      <c r="D66" s="461" t="s">
        <v>648</v>
      </c>
      <c r="F66" s="462">
        <v>44.435250000000003</v>
      </c>
      <c r="K66" s="463"/>
    </row>
    <row r="67" spans="1:76" ht="13.5">
      <c r="A67" s="460"/>
      <c r="C67" s="461" t="s">
        <v>1490</v>
      </c>
      <c r="D67" s="461" t="s">
        <v>648</v>
      </c>
      <c r="F67" s="462">
        <v>507.38400000000001</v>
      </c>
      <c r="K67" s="463"/>
    </row>
    <row r="68" spans="1:76" ht="13.5">
      <c r="A68" s="460"/>
      <c r="C68" s="461" t="s">
        <v>678</v>
      </c>
      <c r="D68" s="461" t="s">
        <v>648</v>
      </c>
      <c r="F68" s="462">
        <v>0</v>
      </c>
      <c r="K68" s="463"/>
    </row>
    <row r="69" spans="1:76" ht="13.5">
      <c r="A69" s="460"/>
      <c r="C69" s="461" t="s">
        <v>1491</v>
      </c>
      <c r="D69" s="461" t="s">
        <v>648</v>
      </c>
      <c r="F69" s="462">
        <v>245.08045000000001</v>
      </c>
      <c r="K69" s="463"/>
    </row>
    <row r="70" spans="1:76" ht="13.5">
      <c r="A70" s="460"/>
      <c r="C70" s="461" t="s">
        <v>672</v>
      </c>
      <c r="D70" s="461" t="s">
        <v>648</v>
      </c>
      <c r="F70" s="462">
        <v>0</v>
      </c>
      <c r="K70" s="463"/>
    </row>
    <row r="71" spans="1:76" ht="13.5">
      <c r="A71" s="460"/>
      <c r="C71" s="461" t="s">
        <v>1492</v>
      </c>
      <c r="D71" s="461" t="s">
        <v>648</v>
      </c>
      <c r="F71" s="462">
        <v>0</v>
      </c>
      <c r="K71" s="463"/>
    </row>
    <row r="72" spans="1:76" ht="13.5">
      <c r="A72" s="454" t="s">
        <v>719</v>
      </c>
      <c r="B72" s="455" t="s">
        <v>1493</v>
      </c>
      <c r="C72" s="428" t="s">
        <v>1494</v>
      </c>
      <c r="D72" s="424"/>
      <c r="E72" s="455" t="s">
        <v>14</v>
      </c>
      <c r="F72" s="456">
        <v>3</v>
      </c>
      <c r="G72" s="456">
        <v>0</v>
      </c>
      <c r="H72" s="456">
        <f>F72*AO72</f>
        <v>0</v>
      </c>
      <c r="I72" s="456">
        <f>F72*AP72</f>
        <v>0</v>
      </c>
      <c r="J72" s="456">
        <f>F72*G72</f>
        <v>0</v>
      </c>
      <c r="K72" s="457" t="s">
        <v>648</v>
      </c>
      <c r="Z72" s="456">
        <f>IF(AQ72="5",BJ72,0)</f>
        <v>0</v>
      </c>
      <c r="AB72" s="456">
        <f>IF(AQ72="1",BH72,0)</f>
        <v>0</v>
      </c>
      <c r="AC72" s="456">
        <f>IF(AQ72="1",BI72,0)</f>
        <v>0</v>
      </c>
      <c r="AD72" s="456">
        <f>IF(AQ72="7",BH72,0)</f>
        <v>0</v>
      </c>
      <c r="AE72" s="456">
        <f>IF(AQ72="7",BI72,0)</f>
        <v>0</v>
      </c>
      <c r="AF72" s="456">
        <f>IF(AQ72="2",BH72,0)</f>
        <v>0</v>
      </c>
      <c r="AG72" s="456">
        <f>IF(AQ72="2",BI72,0)</f>
        <v>0</v>
      </c>
      <c r="AH72" s="456">
        <f>IF(AQ72="0",BJ72,0)</f>
        <v>0</v>
      </c>
      <c r="AI72" s="438" t="s">
        <v>648</v>
      </c>
      <c r="AJ72" s="456">
        <f>IF(AN72=0,J72,0)</f>
        <v>0</v>
      </c>
      <c r="AK72" s="456">
        <f>IF(AN72=12,J72,0)</f>
        <v>0</v>
      </c>
      <c r="AL72" s="456">
        <f>IF(AN72=21,J72,0)</f>
        <v>0</v>
      </c>
      <c r="AN72" s="456">
        <v>21</v>
      </c>
      <c r="AO72" s="456">
        <f>G72*0</f>
        <v>0</v>
      </c>
      <c r="AP72" s="456">
        <f>G72*(1-0)</f>
        <v>0</v>
      </c>
      <c r="AQ72" s="458" t="s">
        <v>651</v>
      </c>
      <c r="AV72" s="456">
        <f>AW72+AX72</f>
        <v>0</v>
      </c>
      <c r="AW72" s="456">
        <f>F72*AO72</f>
        <v>0</v>
      </c>
      <c r="AX72" s="456">
        <f>F72*AP72</f>
        <v>0</v>
      </c>
      <c r="AY72" s="458" t="s">
        <v>688</v>
      </c>
      <c r="AZ72" s="458" t="s">
        <v>664</v>
      </c>
      <c r="BA72" s="438" t="s">
        <v>656</v>
      </c>
      <c r="BC72" s="456">
        <f>AW72+AX72</f>
        <v>0</v>
      </c>
      <c r="BD72" s="456">
        <f>G72/(100-BE72)*100</f>
        <v>0</v>
      </c>
      <c r="BE72" s="456">
        <v>0</v>
      </c>
      <c r="BF72" s="456">
        <f>72</f>
        <v>72</v>
      </c>
      <c r="BH72" s="456">
        <f>F72*AO72</f>
        <v>0</v>
      </c>
      <c r="BI72" s="456">
        <f>F72*AP72</f>
        <v>0</v>
      </c>
      <c r="BJ72" s="456">
        <f>F72*G72</f>
        <v>0</v>
      </c>
      <c r="BK72" s="456"/>
      <c r="BL72" s="456">
        <v>13</v>
      </c>
      <c r="BW72" s="456">
        <v>21</v>
      </c>
      <c r="BX72" s="459" t="s">
        <v>1494</v>
      </c>
    </row>
    <row r="73" spans="1:76" ht="13.5">
      <c r="A73" s="460"/>
      <c r="C73" s="461" t="s">
        <v>1495</v>
      </c>
      <c r="D73" s="461" t="s">
        <v>648</v>
      </c>
      <c r="F73" s="462">
        <v>3</v>
      </c>
      <c r="K73" s="463"/>
    </row>
    <row r="74" spans="1:76" ht="13.5">
      <c r="A74" s="448" t="s">
        <v>648</v>
      </c>
      <c r="B74" s="449" t="s">
        <v>704</v>
      </c>
      <c r="C74" s="450" t="s">
        <v>705</v>
      </c>
      <c r="D74" s="451"/>
      <c r="E74" s="452" t="s">
        <v>607</v>
      </c>
      <c r="F74" s="452" t="s">
        <v>607</v>
      </c>
      <c r="G74" s="452" t="s">
        <v>607</v>
      </c>
      <c r="H74" s="416">
        <f>SUM(H75:H90)</f>
        <v>0</v>
      </c>
      <c r="I74" s="416">
        <f>SUM(I75:I90)</f>
        <v>0</v>
      </c>
      <c r="J74" s="416">
        <f>SUM(J75:J90)</f>
        <v>0</v>
      </c>
      <c r="K74" s="453" t="s">
        <v>648</v>
      </c>
      <c r="AI74" s="438" t="s">
        <v>648</v>
      </c>
      <c r="AS74" s="416">
        <f>SUM(AJ75:AJ90)</f>
        <v>0</v>
      </c>
      <c r="AT74" s="416">
        <f>SUM(AK75:AK90)</f>
        <v>0</v>
      </c>
      <c r="AU74" s="416">
        <f>SUM(AL75:AL90)</f>
        <v>0</v>
      </c>
    </row>
    <row r="75" spans="1:76" ht="13.5">
      <c r="A75" s="454" t="s">
        <v>723</v>
      </c>
      <c r="B75" s="455" t="s">
        <v>706</v>
      </c>
      <c r="C75" s="428" t="s">
        <v>707</v>
      </c>
      <c r="D75" s="424"/>
      <c r="E75" s="455" t="s">
        <v>14</v>
      </c>
      <c r="F75" s="456">
        <v>1</v>
      </c>
      <c r="G75" s="456">
        <v>0</v>
      </c>
      <c r="H75" s="456">
        <f>F75*AO75</f>
        <v>0</v>
      </c>
      <c r="I75" s="456">
        <f>F75*AP75</f>
        <v>0</v>
      </c>
      <c r="J75" s="456">
        <f>F75*G75</f>
        <v>0</v>
      </c>
      <c r="K75" s="457" t="s">
        <v>1410</v>
      </c>
      <c r="Z75" s="456">
        <f>IF(AQ75="5",BJ75,0)</f>
        <v>0</v>
      </c>
      <c r="AB75" s="456">
        <f>IF(AQ75="1",BH75,0)</f>
        <v>0</v>
      </c>
      <c r="AC75" s="456">
        <f>IF(AQ75="1",BI75,0)</f>
        <v>0</v>
      </c>
      <c r="AD75" s="456">
        <f>IF(AQ75="7",BH75,0)</f>
        <v>0</v>
      </c>
      <c r="AE75" s="456">
        <f>IF(AQ75="7",BI75,0)</f>
        <v>0</v>
      </c>
      <c r="AF75" s="456">
        <f>IF(AQ75="2",BH75,0)</f>
        <v>0</v>
      </c>
      <c r="AG75" s="456">
        <f>IF(AQ75="2",BI75,0)</f>
        <v>0</v>
      </c>
      <c r="AH75" s="456">
        <f>IF(AQ75="0",BJ75,0)</f>
        <v>0</v>
      </c>
      <c r="AI75" s="438" t="s">
        <v>648</v>
      </c>
      <c r="AJ75" s="456">
        <f>IF(AN75=0,J75,0)</f>
        <v>0</v>
      </c>
      <c r="AK75" s="456">
        <f>IF(AN75=12,J75,0)</f>
        <v>0</v>
      </c>
      <c r="AL75" s="456">
        <f>IF(AN75=21,J75,0)</f>
        <v>0</v>
      </c>
      <c r="AN75" s="456">
        <v>21</v>
      </c>
      <c r="AO75" s="456">
        <f>G75*0</f>
        <v>0</v>
      </c>
      <c r="AP75" s="456">
        <f>G75*(1-0)</f>
        <v>0</v>
      </c>
      <c r="AQ75" s="458" t="s">
        <v>651</v>
      </c>
      <c r="AV75" s="456">
        <f>AW75+AX75</f>
        <v>0</v>
      </c>
      <c r="AW75" s="456">
        <f>F75*AO75</f>
        <v>0</v>
      </c>
      <c r="AX75" s="456">
        <f>F75*AP75</f>
        <v>0</v>
      </c>
      <c r="AY75" s="458" t="s">
        <v>708</v>
      </c>
      <c r="AZ75" s="458" t="s">
        <v>664</v>
      </c>
      <c r="BA75" s="438" t="s">
        <v>656</v>
      </c>
      <c r="BC75" s="456">
        <f>AW75+AX75</f>
        <v>0</v>
      </c>
      <c r="BD75" s="456">
        <f>G75/(100-BE75)*100</f>
        <v>0</v>
      </c>
      <c r="BE75" s="456">
        <v>0</v>
      </c>
      <c r="BF75" s="456">
        <f>75</f>
        <v>75</v>
      </c>
      <c r="BH75" s="456">
        <f>F75*AO75</f>
        <v>0</v>
      </c>
      <c r="BI75" s="456">
        <f>F75*AP75</f>
        <v>0</v>
      </c>
      <c r="BJ75" s="456">
        <f>F75*G75</f>
        <v>0</v>
      </c>
      <c r="BK75" s="456"/>
      <c r="BL75" s="456">
        <v>15</v>
      </c>
      <c r="BW75" s="456">
        <v>21</v>
      </c>
      <c r="BX75" s="459" t="s">
        <v>707</v>
      </c>
    </row>
    <row r="76" spans="1:76" ht="13.5">
      <c r="A76" s="460"/>
      <c r="C76" s="461" t="s">
        <v>651</v>
      </c>
      <c r="D76" s="461" t="s">
        <v>648</v>
      </c>
      <c r="F76" s="462">
        <v>1</v>
      </c>
      <c r="K76" s="463"/>
    </row>
    <row r="77" spans="1:76" ht="13.5">
      <c r="A77" s="454" t="s">
        <v>728</v>
      </c>
      <c r="B77" s="455" t="s">
        <v>710</v>
      </c>
      <c r="C77" s="428" t="s">
        <v>711</v>
      </c>
      <c r="D77" s="424"/>
      <c r="E77" s="455" t="s">
        <v>14</v>
      </c>
      <c r="F77" s="456">
        <v>1</v>
      </c>
      <c r="G77" s="456">
        <v>0</v>
      </c>
      <c r="H77" s="456">
        <f>F77*AO77</f>
        <v>0</v>
      </c>
      <c r="I77" s="456">
        <f>F77*AP77</f>
        <v>0</v>
      </c>
      <c r="J77" s="456">
        <f>F77*G77</f>
        <v>0</v>
      </c>
      <c r="K77" s="457" t="s">
        <v>1410</v>
      </c>
      <c r="Z77" s="456">
        <f>IF(AQ77="5",BJ77,0)</f>
        <v>0</v>
      </c>
      <c r="AB77" s="456">
        <f>IF(AQ77="1",BH77,0)</f>
        <v>0</v>
      </c>
      <c r="AC77" s="456">
        <f>IF(AQ77="1",BI77,0)</f>
        <v>0</v>
      </c>
      <c r="AD77" s="456">
        <f>IF(AQ77="7",BH77,0)</f>
        <v>0</v>
      </c>
      <c r="AE77" s="456">
        <f>IF(AQ77="7",BI77,0)</f>
        <v>0</v>
      </c>
      <c r="AF77" s="456">
        <f>IF(AQ77="2",BH77,0)</f>
        <v>0</v>
      </c>
      <c r="AG77" s="456">
        <f>IF(AQ77="2",BI77,0)</f>
        <v>0</v>
      </c>
      <c r="AH77" s="456">
        <f>IF(AQ77="0",BJ77,0)</f>
        <v>0</v>
      </c>
      <c r="AI77" s="438" t="s">
        <v>648</v>
      </c>
      <c r="AJ77" s="456">
        <f>IF(AN77=0,J77,0)</f>
        <v>0</v>
      </c>
      <c r="AK77" s="456">
        <f>IF(AN77=12,J77,0)</f>
        <v>0</v>
      </c>
      <c r="AL77" s="456">
        <f>IF(AN77=21,J77,0)</f>
        <v>0</v>
      </c>
      <c r="AN77" s="456">
        <v>21</v>
      </c>
      <c r="AO77" s="456">
        <f>G77*0</f>
        <v>0</v>
      </c>
      <c r="AP77" s="456">
        <f>G77*(1-0)</f>
        <v>0</v>
      </c>
      <c r="AQ77" s="458" t="s">
        <v>651</v>
      </c>
      <c r="AV77" s="456">
        <f>AW77+AX77</f>
        <v>0</v>
      </c>
      <c r="AW77" s="456">
        <f>F77*AO77</f>
        <v>0</v>
      </c>
      <c r="AX77" s="456">
        <f>F77*AP77</f>
        <v>0</v>
      </c>
      <c r="AY77" s="458" t="s">
        <v>708</v>
      </c>
      <c r="AZ77" s="458" t="s">
        <v>664</v>
      </c>
      <c r="BA77" s="438" t="s">
        <v>656</v>
      </c>
      <c r="BC77" s="456">
        <f>AW77+AX77</f>
        <v>0</v>
      </c>
      <c r="BD77" s="456">
        <f>G77/(100-BE77)*100</f>
        <v>0</v>
      </c>
      <c r="BE77" s="456">
        <v>0</v>
      </c>
      <c r="BF77" s="456">
        <f>77</f>
        <v>77</v>
      </c>
      <c r="BH77" s="456">
        <f>F77*AO77</f>
        <v>0</v>
      </c>
      <c r="BI77" s="456">
        <f>F77*AP77</f>
        <v>0</v>
      </c>
      <c r="BJ77" s="456">
        <f>F77*G77</f>
        <v>0</v>
      </c>
      <c r="BK77" s="456"/>
      <c r="BL77" s="456">
        <v>15</v>
      </c>
      <c r="BW77" s="456">
        <v>21</v>
      </c>
      <c r="BX77" s="459" t="s">
        <v>711</v>
      </c>
    </row>
    <row r="78" spans="1:76" ht="13.5">
      <c r="A78" s="460"/>
      <c r="C78" s="461" t="s">
        <v>651</v>
      </c>
      <c r="D78" s="461" t="s">
        <v>648</v>
      </c>
      <c r="F78" s="462">
        <v>1</v>
      </c>
      <c r="K78" s="463"/>
    </row>
    <row r="79" spans="1:76" ht="13.5">
      <c r="A79" s="454" t="s">
        <v>731</v>
      </c>
      <c r="B79" s="455" t="s">
        <v>712</v>
      </c>
      <c r="C79" s="428" t="s">
        <v>713</v>
      </c>
      <c r="D79" s="424"/>
      <c r="E79" s="455" t="s">
        <v>714</v>
      </c>
      <c r="F79" s="456">
        <v>14</v>
      </c>
      <c r="G79" s="456">
        <v>0</v>
      </c>
      <c r="H79" s="456">
        <f>F79*AO79</f>
        <v>0</v>
      </c>
      <c r="I79" s="456">
        <f>F79*AP79</f>
        <v>0</v>
      </c>
      <c r="J79" s="456">
        <f>F79*G79</f>
        <v>0</v>
      </c>
      <c r="K79" s="457" t="s">
        <v>1410</v>
      </c>
      <c r="Z79" s="456">
        <f>IF(AQ79="5",BJ79,0)</f>
        <v>0</v>
      </c>
      <c r="AB79" s="456">
        <f>IF(AQ79="1",BH79,0)</f>
        <v>0</v>
      </c>
      <c r="AC79" s="456">
        <f>IF(AQ79="1",BI79,0)</f>
        <v>0</v>
      </c>
      <c r="AD79" s="456">
        <f>IF(AQ79="7",BH79,0)</f>
        <v>0</v>
      </c>
      <c r="AE79" s="456">
        <f>IF(AQ79="7",BI79,0)</f>
        <v>0</v>
      </c>
      <c r="AF79" s="456">
        <f>IF(AQ79="2",BH79,0)</f>
        <v>0</v>
      </c>
      <c r="AG79" s="456">
        <f>IF(AQ79="2",BI79,0)</f>
        <v>0</v>
      </c>
      <c r="AH79" s="456">
        <f>IF(AQ79="0",BJ79,0)</f>
        <v>0</v>
      </c>
      <c r="AI79" s="438" t="s">
        <v>648</v>
      </c>
      <c r="AJ79" s="456">
        <f>IF(AN79=0,J79,0)</f>
        <v>0</v>
      </c>
      <c r="AK79" s="456">
        <f>IF(AN79=12,J79,0)</f>
        <v>0</v>
      </c>
      <c r="AL79" s="456">
        <f>IF(AN79=21,J79,0)</f>
        <v>0</v>
      </c>
      <c r="AN79" s="456">
        <v>21</v>
      </c>
      <c r="AO79" s="456">
        <f>G79*0</f>
        <v>0</v>
      </c>
      <c r="AP79" s="456">
        <f>G79*(1-0)</f>
        <v>0</v>
      </c>
      <c r="AQ79" s="458" t="s">
        <v>651</v>
      </c>
      <c r="AV79" s="456">
        <f>AW79+AX79</f>
        <v>0</v>
      </c>
      <c r="AW79" s="456">
        <f>F79*AO79</f>
        <v>0</v>
      </c>
      <c r="AX79" s="456">
        <f>F79*AP79</f>
        <v>0</v>
      </c>
      <c r="AY79" s="458" t="s">
        <v>708</v>
      </c>
      <c r="AZ79" s="458" t="s">
        <v>664</v>
      </c>
      <c r="BA79" s="438" t="s">
        <v>656</v>
      </c>
      <c r="BC79" s="456">
        <f>AW79+AX79</f>
        <v>0</v>
      </c>
      <c r="BD79" s="456">
        <f>G79/(100-BE79)*100</f>
        <v>0</v>
      </c>
      <c r="BE79" s="456">
        <v>0</v>
      </c>
      <c r="BF79" s="456">
        <f>79</f>
        <v>79</v>
      </c>
      <c r="BH79" s="456">
        <f>F79*AO79</f>
        <v>0</v>
      </c>
      <c r="BI79" s="456">
        <f>F79*AP79</f>
        <v>0</v>
      </c>
      <c r="BJ79" s="456">
        <f>F79*G79</f>
        <v>0</v>
      </c>
      <c r="BK79" s="456"/>
      <c r="BL79" s="456">
        <v>15</v>
      </c>
      <c r="BW79" s="456">
        <v>21</v>
      </c>
      <c r="BX79" s="459" t="s">
        <v>713</v>
      </c>
    </row>
    <row r="80" spans="1:76" ht="13.5">
      <c r="A80" s="460"/>
      <c r="C80" s="461" t="s">
        <v>709</v>
      </c>
      <c r="D80" s="461" t="s">
        <v>648</v>
      </c>
      <c r="F80" s="462">
        <v>14</v>
      </c>
      <c r="K80" s="463"/>
    </row>
    <row r="81" spans="1:76" ht="13.5">
      <c r="A81" s="454" t="s">
        <v>735</v>
      </c>
      <c r="B81" s="455" t="s">
        <v>716</v>
      </c>
      <c r="C81" s="428" t="s">
        <v>717</v>
      </c>
      <c r="D81" s="424"/>
      <c r="E81" s="455" t="s">
        <v>40</v>
      </c>
      <c r="F81" s="456">
        <v>2848.0320000000002</v>
      </c>
      <c r="G81" s="456">
        <v>0</v>
      </c>
      <c r="H81" s="456">
        <f>F81*AO81</f>
        <v>0</v>
      </c>
      <c r="I81" s="456">
        <f>F81*AP81</f>
        <v>0</v>
      </c>
      <c r="J81" s="456">
        <f>F81*G81</f>
        <v>0</v>
      </c>
      <c r="K81" s="457" t="s">
        <v>1410</v>
      </c>
      <c r="Z81" s="456">
        <f>IF(AQ81="5",BJ81,0)</f>
        <v>0</v>
      </c>
      <c r="AB81" s="456">
        <f>IF(AQ81="1",BH81,0)</f>
        <v>0</v>
      </c>
      <c r="AC81" s="456">
        <f>IF(AQ81="1",BI81,0)</f>
        <v>0</v>
      </c>
      <c r="AD81" s="456">
        <f>IF(AQ81="7",BH81,0)</f>
        <v>0</v>
      </c>
      <c r="AE81" s="456">
        <f>IF(AQ81="7",BI81,0)</f>
        <v>0</v>
      </c>
      <c r="AF81" s="456">
        <f>IF(AQ81="2",BH81,0)</f>
        <v>0</v>
      </c>
      <c r="AG81" s="456">
        <f>IF(AQ81="2",BI81,0)</f>
        <v>0</v>
      </c>
      <c r="AH81" s="456">
        <f>IF(AQ81="0",BJ81,0)</f>
        <v>0</v>
      </c>
      <c r="AI81" s="438" t="s">
        <v>648</v>
      </c>
      <c r="AJ81" s="456">
        <f>IF(AN81=0,J81,0)</f>
        <v>0</v>
      </c>
      <c r="AK81" s="456">
        <f>IF(AN81=12,J81,0)</f>
        <v>0</v>
      </c>
      <c r="AL81" s="456">
        <f>IF(AN81=21,J81,0)</f>
        <v>0</v>
      </c>
      <c r="AN81" s="456">
        <v>21</v>
      </c>
      <c r="AO81" s="456">
        <f>G81*0.091290323</f>
        <v>0</v>
      </c>
      <c r="AP81" s="456">
        <f>G81*(1-0.091290323)</f>
        <v>0</v>
      </c>
      <c r="AQ81" s="458" t="s">
        <v>651</v>
      </c>
      <c r="AV81" s="456">
        <f>AW81+AX81</f>
        <v>0</v>
      </c>
      <c r="AW81" s="456">
        <f>F81*AO81</f>
        <v>0</v>
      </c>
      <c r="AX81" s="456">
        <f>F81*AP81</f>
        <v>0</v>
      </c>
      <c r="AY81" s="458" t="s">
        <v>708</v>
      </c>
      <c r="AZ81" s="458" t="s">
        <v>664</v>
      </c>
      <c r="BA81" s="438" t="s">
        <v>656</v>
      </c>
      <c r="BC81" s="456">
        <f>AW81+AX81</f>
        <v>0</v>
      </c>
      <c r="BD81" s="456">
        <f>G81/(100-BE81)*100</f>
        <v>0</v>
      </c>
      <c r="BE81" s="456">
        <v>0</v>
      </c>
      <c r="BF81" s="456">
        <f>81</f>
        <v>81</v>
      </c>
      <c r="BH81" s="456">
        <f>F81*AO81</f>
        <v>0</v>
      </c>
      <c r="BI81" s="456">
        <f>F81*AP81</f>
        <v>0</v>
      </c>
      <c r="BJ81" s="456">
        <f>F81*G81</f>
        <v>0</v>
      </c>
      <c r="BK81" s="456"/>
      <c r="BL81" s="456">
        <v>15</v>
      </c>
      <c r="BW81" s="456">
        <v>21</v>
      </c>
      <c r="BX81" s="459" t="s">
        <v>717</v>
      </c>
    </row>
    <row r="82" spans="1:76" ht="13.5">
      <c r="A82" s="460"/>
      <c r="C82" s="461" t="s">
        <v>718</v>
      </c>
      <c r="D82" s="461" t="s">
        <v>648</v>
      </c>
      <c r="F82" s="462">
        <v>757.48</v>
      </c>
      <c r="K82" s="463"/>
    </row>
    <row r="83" spans="1:76" ht="13.5">
      <c r="A83" s="460"/>
      <c r="C83" s="461" t="s">
        <v>1346</v>
      </c>
      <c r="D83" s="461" t="s">
        <v>648</v>
      </c>
      <c r="F83" s="462">
        <v>95.7</v>
      </c>
      <c r="K83" s="463"/>
    </row>
    <row r="84" spans="1:76" ht="13.5">
      <c r="A84" s="460"/>
      <c r="C84" s="461" t="s">
        <v>1347</v>
      </c>
      <c r="D84" s="461" t="s">
        <v>648</v>
      </c>
      <c r="F84" s="462">
        <v>211.55500000000001</v>
      </c>
      <c r="K84" s="463"/>
    </row>
    <row r="85" spans="1:76" ht="13.5">
      <c r="A85" s="460"/>
      <c r="C85" s="461" t="s">
        <v>671</v>
      </c>
      <c r="D85" s="461" t="s">
        <v>648</v>
      </c>
      <c r="F85" s="462">
        <v>0</v>
      </c>
      <c r="K85" s="463"/>
    </row>
    <row r="86" spans="1:76" ht="13.5">
      <c r="A86" s="460"/>
      <c r="C86" s="461" t="s">
        <v>1348</v>
      </c>
      <c r="D86" s="461" t="s">
        <v>648</v>
      </c>
      <c r="F86" s="462">
        <v>121.075</v>
      </c>
      <c r="K86" s="463"/>
    </row>
    <row r="87" spans="1:76" ht="13.5">
      <c r="A87" s="460"/>
      <c r="C87" s="461" t="s">
        <v>678</v>
      </c>
      <c r="D87" s="461" t="s">
        <v>648</v>
      </c>
      <c r="F87" s="462">
        <v>0</v>
      </c>
      <c r="K87" s="463"/>
    </row>
    <row r="88" spans="1:76" ht="13.5">
      <c r="A88" s="460"/>
      <c r="C88" s="461" t="s">
        <v>1349</v>
      </c>
      <c r="D88" s="461" t="s">
        <v>648</v>
      </c>
      <c r="F88" s="462">
        <v>1662.222</v>
      </c>
      <c r="K88" s="463"/>
    </row>
    <row r="89" spans="1:76" ht="13.5">
      <c r="A89" s="460"/>
      <c r="C89" s="461" t="s">
        <v>672</v>
      </c>
      <c r="D89" s="461" t="s">
        <v>648</v>
      </c>
      <c r="F89" s="462">
        <v>0</v>
      </c>
      <c r="K89" s="463"/>
    </row>
    <row r="90" spans="1:76" ht="13.5">
      <c r="A90" s="454" t="s">
        <v>738</v>
      </c>
      <c r="B90" s="455" t="s">
        <v>720</v>
      </c>
      <c r="C90" s="428" t="s">
        <v>721</v>
      </c>
      <c r="D90" s="424"/>
      <c r="E90" s="455" t="s">
        <v>40</v>
      </c>
      <c r="F90" s="456">
        <v>2848.0320000000002</v>
      </c>
      <c r="G90" s="456">
        <v>0</v>
      </c>
      <c r="H90" s="456">
        <f>F90*AO90</f>
        <v>0</v>
      </c>
      <c r="I90" s="456">
        <f>F90*AP90</f>
        <v>0</v>
      </c>
      <c r="J90" s="456">
        <f>F90*G90</f>
        <v>0</v>
      </c>
      <c r="K90" s="457" t="s">
        <v>1410</v>
      </c>
      <c r="Z90" s="456">
        <f>IF(AQ90="5",BJ90,0)</f>
        <v>0</v>
      </c>
      <c r="AB90" s="456">
        <f>IF(AQ90="1",BH90,0)</f>
        <v>0</v>
      </c>
      <c r="AC90" s="456">
        <f>IF(AQ90="1",BI90,0)</f>
        <v>0</v>
      </c>
      <c r="AD90" s="456">
        <f>IF(AQ90="7",BH90,0)</f>
        <v>0</v>
      </c>
      <c r="AE90" s="456">
        <f>IF(AQ90="7",BI90,0)</f>
        <v>0</v>
      </c>
      <c r="AF90" s="456">
        <f>IF(AQ90="2",BH90,0)</f>
        <v>0</v>
      </c>
      <c r="AG90" s="456">
        <f>IF(AQ90="2",BI90,0)</f>
        <v>0</v>
      </c>
      <c r="AH90" s="456">
        <f>IF(AQ90="0",BJ90,0)</f>
        <v>0</v>
      </c>
      <c r="AI90" s="438" t="s">
        <v>648</v>
      </c>
      <c r="AJ90" s="456">
        <f>IF(AN90=0,J90,0)</f>
        <v>0</v>
      </c>
      <c r="AK90" s="456">
        <f>IF(AN90=12,J90,0)</f>
        <v>0</v>
      </c>
      <c r="AL90" s="456">
        <f>IF(AN90=21,J90,0)</f>
        <v>0</v>
      </c>
      <c r="AN90" s="456">
        <v>21</v>
      </c>
      <c r="AO90" s="456">
        <f>G90*0</f>
        <v>0</v>
      </c>
      <c r="AP90" s="456">
        <f>G90*(1-0)</f>
        <v>0</v>
      </c>
      <c r="AQ90" s="458" t="s">
        <v>651</v>
      </c>
      <c r="AV90" s="456">
        <f>AW90+AX90</f>
        <v>0</v>
      </c>
      <c r="AW90" s="456">
        <f>F90*AO90</f>
        <v>0</v>
      </c>
      <c r="AX90" s="456">
        <f>F90*AP90</f>
        <v>0</v>
      </c>
      <c r="AY90" s="458" t="s">
        <v>708</v>
      </c>
      <c r="AZ90" s="458" t="s">
        <v>664</v>
      </c>
      <c r="BA90" s="438" t="s">
        <v>656</v>
      </c>
      <c r="BC90" s="456">
        <f>AW90+AX90</f>
        <v>0</v>
      </c>
      <c r="BD90" s="456">
        <f>G90/(100-BE90)*100</f>
        <v>0</v>
      </c>
      <c r="BE90" s="456">
        <v>0</v>
      </c>
      <c r="BF90" s="456">
        <f>90</f>
        <v>90</v>
      </c>
      <c r="BH90" s="456">
        <f>F90*AO90</f>
        <v>0</v>
      </c>
      <c r="BI90" s="456">
        <f>F90*AP90</f>
        <v>0</v>
      </c>
      <c r="BJ90" s="456">
        <f>F90*G90</f>
        <v>0</v>
      </c>
      <c r="BK90" s="456"/>
      <c r="BL90" s="456">
        <v>15</v>
      </c>
      <c r="BW90" s="456">
        <v>21</v>
      </c>
      <c r="BX90" s="459" t="s">
        <v>721</v>
      </c>
    </row>
    <row r="91" spans="1:76" ht="13.5">
      <c r="A91" s="460"/>
      <c r="C91" s="461" t="s">
        <v>1350</v>
      </c>
      <c r="D91" s="461" t="s">
        <v>648</v>
      </c>
      <c r="F91" s="462">
        <v>2848.0320000000002</v>
      </c>
      <c r="K91" s="463"/>
    </row>
    <row r="92" spans="1:76" ht="13.5">
      <c r="A92" s="448" t="s">
        <v>648</v>
      </c>
      <c r="B92" s="449" t="s">
        <v>715</v>
      </c>
      <c r="C92" s="450" t="s">
        <v>722</v>
      </c>
      <c r="D92" s="451"/>
      <c r="E92" s="452" t="s">
        <v>607</v>
      </c>
      <c r="F92" s="452" t="s">
        <v>607</v>
      </c>
      <c r="G92" s="452" t="s">
        <v>607</v>
      </c>
      <c r="H92" s="416">
        <f>SUM(H93:H114)</f>
        <v>0</v>
      </c>
      <c r="I92" s="416">
        <f>SUM(I93:I114)</f>
        <v>0</v>
      </c>
      <c r="J92" s="416">
        <f>SUM(J93:J114)</f>
        <v>0</v>
      </c>
      <c r="K92" s="453" t="s">
        <v>648</v>
      </c>
      <c r="AI92" s="438" t="s">
        <v>648</v>
      </c>
      <c r="AS92" s="416">
        <f>SUM(AJ93:AJ114)</f>
        <v>0</v>
      </c>
      <c r="AT92" s="416">
        <f>SUM(AK93:AK114)</f>
        <v>0</v>
      </c>
      <c r="AU92" s="416">
        <f>SUM(AL93:AL114)</f>
        <v>0</v>
      </c>
    </row>
    <row r="93" spans="1:76" ht="13.5">
      <c r="A93" s="454" t="s">
        <v>741</v>
      </c>
      <c r="B93" s="455" t="s">
        <v>724</v>
      </c>
      <c r="C93" s="428" t="s">
        <v>725</v>
      </c>
      <c r="D93" s="424"/>
      <c r="E93" s="455" t="s">
        <v>687</v>
      </c>
      <c r="F93" s="456">
        <v>16.649999999999999</v>
      </c>
      <c r="G93" s="456">
        <v>0</v>
      </c>
      <c r="H93" s="456">
        <f>F93*AO93</f>
        <v>0</v>
      </c>
      <c r="I93" s="456">
        <f>F93*AP93</f>
        <v>0</v>
      </c>
      <c r="J93" s="456">
        <f>F93*G93</f>
        <v>0</v>
      </c>
      <c r="K93" s="457" t="s">
        <v>1410</v>
      </c>
      <c r="Z93" s="456">
        <f>IF(AQ93="5",BJ93,0)</f>
        <v>0</v>
      </c>
      <c r="AB93" s="456">
        <f>IF(AQ93="1",BH93,0)</f>
        <v>0</v>
      </c>
      <c r="AC93" s="456">
        <f>IF(AQ93="1",BI93,0)</f>
        <v>0</v>
      </c>
      <c r="AD93" s="456">
        <f>IF(AQ93="7",BH93,0)</f>
        <v>0</v>
      </c>
      <c r="AE93" s="456">
        <f>IF(AQ93="7",BI93,0)</f>
        <v>0</v>
      </c>
      <c r="AF93" s="456">
        <f>IF(AQ93="2",BH93,0)</f>
        <v>0</v>
      </c>
      <c r="AG93" s="456">
        <f>IF(AQ93="2",BI93,0)</f>
        <v>0</v>
      </c>
      <c r="AH93" s="456">
        <f>IF(AQ93="0",BJ93,0)</f>
        <v>0</v>
      </c>
      <c r="AI93" s="438" t="s">
        <v>648</v>
      </c>
      <c r="AJ93" s="456">
        <f>IF(AN93=0,J93,0)</f>
        <v>0</v>
      </c>
      <c r="AK93" s="456">
        <f>IF(AN93=12,J93,0)</f>
        <v>0</v>
      </c>
      <c r="AL93" s="456">
        <f>IF(AN93=21,J93,0)</f>
        <v>0</v>
      </c>
      <c r="AN93" s="456">
        <v>21</v>
      </c>
      <c r="AO93" s="456">
        <f>G93*0</f>
        <v>0</v>
      </c>
      <c r="AP93" s="456">
        <f>G93*(1-0)</f>
        <v>0</v>
      </c>
      <c r="AQ93" s="458" t="s">
        <v>651</v>
      </c>
      <c r="AV93" s="456">
        <f>AW93+AX93</f>
        <v>0</v>
      </c>
      <c r="AW93" s="456">
        <f>F93*AO93</f>
        <v>0</v>
      </c>
      <c r="AX93" s="456">
        <f>F93*AP93</f>
        <v>0</v>
      </c>
      <c r="AY93" s="458" t="s">
        <v>726</v>
      </c>
      <c r="AZ93" s="458" t="s">
        <v>664</v>
      </c>
      <c r="BA93" s="438" t="s">
        <v>656</v>
      </c>
      <c r="BC93" s="456">
        <f>AW93+AX93</f>
        <v>0</v>
      </c>
      <c r="BD93" s="456">
        <f>G93/(100-BE93)*100</f>
        <v>0</v>
      </c>
      <c r="BE93" s="456">
        <v>0</v>
      </c>
      <c r="BF93" s="456">
        <f>93</f>
        <v>93</v>
      </c>
      <c r="BH93" s="456">
        <f>F93*AO93</f>
        <v>0</v>
      </c>
      <c r="BI93" s="456">
        <f>F93*AP93</f>
        <v>0</v>
      </c>
      <c r="BJ93" s="456">
        <f>F93*G93</f>
        <v>0</v>
      </c>
      <c r="BK93" s="456"/>
      <c r="BL93" s="456">
        <v>16</v>
      </c>
      <c r="BW93" s="456">
        <v>21</v>
      </c>
      <c r="BX93" s="459" t="s">
        <v>725</v>
      </c>
    </row>
    <row r="94" spans="1:76" ht="13.5">
      <c r="A94" s="460"/>
      <c r="C94" s="461" t="s">
        <v>727</v>
      </c>
      <c r="D94" s="461" t="s">
        <v>648</v>
      </c>
      <c r="F94" s="462">
        <v>16.649999999999999</v>
      </c>
      <c r="K94" s="463"/>
    </row>
    <row r="95" spans="1:76" ht="13.5">
      <c r="A95" s="454" t="s">
        <v>743</v>
      </c>
      <c r="B95" s="455" t="s">
        <v>729</v>
      </c>
      <c r="C95" s="428" t="s">
        <v>730</v>
      </c>
      <c r="D95" s="424"/>
      <c r="E95" s="455" t="s">
        <v>687</v>
      </c>
      <c r="F95" s="456">
        <v>1960.76423</v>
      </c>
      <c r="G95" s="456">
        <v>0</v>
      </c>
      <c r="H95" s="456">
        <f>F95*AO95</f>
        <v>0</v>
      </c>
      <c r="I95" s="456">
        <f>F95*AP95</f>
        <v>0</v>
      </c>
      <c r="J95" s="456">
        <f>F95*G95</f>
        <v>0</v>
      </c>
      <c r="K95" s="457" t="s">
        <v>1410</v>
      </c>
      <c r="Z95" s="456">
        <f>IF(AQ95="5",BJ95,0)</f>
        <v>0</v>
      </c>
      <c r="AB95" s="456">
        <f>IF(AQ95="1",BH95,0)</f>
        <v>0</v>
      </c>
      <c r="AC95" s="456">
        <f>IF(AQ95="1",BI95,0)</f>
        <v>0</v>
      </c>
      <c r="AD95" s="456">
        <f>IF(AQ95="7",BH95,0)</f>
        <v>0</v>
      </c>
      <c r="AE95" s="456">
        <f>IF(AQ95="7",BI95,0)</f>
        <v>0</v>
      </c>
      <c r="AF95" s="456">
        <f>IF(AQ95="2",BH95,0)</f>
        <v>0</v>
      </c>
      <c r="AG95" s="456">
        <f>IF(AQ95="2",BI95,0)</f>
        <v>0</v>
      </c>
      <c r="AH95" s="456">
        <f>IF(AQ95="0",BJ95,0)</f>
        <v>0</v>
      </c>
      <c r="AI95" s="438" t="s">
        <v>648</v>
      </c>
      <c r="AJ95" s="456">
        <f>IF(AN95=0,J95,0)</f>
        <v>0</v>
      </c>
      <c r="AK95" s="456">
        <f>IF(AN95=12,J95,0)</f>
        <v>0</v>
      </c>
      <c r="AL95" s="456">
        <f>IF(AN95=21,J95,0)</f>
        <v>0</v>
      </c>
      <c r="AN95" s="456">
        <v>21</v>
      </c>
      <c r="AO95" s="456">
        <f>G95*0</f>
        <v>0</v>
      </c>
      <c r="AP95" s="456">
        <f>G95*(1-0)</f>
        <v>0</v>
      </c>
      <c r="AQ95" s="458" t="s">
        <v>651</v>
      </c>
      <c r="AV95" s="456">
        <f>AW95+AX95</f>
        <v>0</v>
      </c>
      <c r="AW95" s="456">
        <f>F95*AO95</f>
        <v>0</v>
      </c>
      <c r="AX95" s="456">
        <f>F95*AP95</f>
        <v>0</v>
      </c>
      <c r="AY95" s="458" t="s">
        <v>726</v>
      </c>
      <c r="AZ95" s="458" t="s">
        <v>664</v>
      </c>
      <c r="BA95" s="438" t="s">
        <v>656</v>
      </c>
      <c r="BC95" s="456">
        <f>AW95+AX95</f>
        <v>0</v>
      </c>
      <c r="BD95" s="456">
        <f>G95/(100-BE95)*100</f>
        <v>0</v>
      </c>
      <c r="BE95" s="456">
        <v>0</v>
      </c>
      <c r="BF95" s="456">
        <f>95</f>
        <v>95</v>
      </c>
      <c r="BH95" s="456">
        <f>F95*AO95</f>
        <v>0</v>
      </c>
      <c r="BI95" s="456">
        <f>F95*AP95</f>
        <v>0</v>
      </c>
      <c r="BJ95" s="456">
        <f>F95*G95</f>
        <v>0</v>
      </c>
      <c r="BK95" s="456"/>
      <c r="BL95" s="456">
        <v>16</v>
      </c>
      <c r="BW95" s="456">
        <v>21</v>
      </c>
      <c r="BX95" s="459" t="s">
        <v>730</v>
      </c>
    </row>
    <row r="96" spans="1:76" ht="13.5">
      <c r="A96" s="460"/>
      <c r="C96" s="461" t="s">
        <v>1496</v>
      </c>
      <c r="D96" s="461" t="s">
        <v>648</v>
      </c>
      <c r="F96" s="462">
        <v>1872.3770300000001</v>
      </c>
      <c r="K96" s="463"/>
    </row>
    <row r="97" spans="1:76" ht="13.5">
      <c r="A97" s="460"/>
      <c r="C97" s="461" t="s">
        <v>1351</v>
      </c>
      <c r="D97" s="461" t="s">
        <v>648</v>
      </c>
      <c r="F97" s="462">
        <v>88.387200000000007</v>
      </c>
      <c r="K97" s="463"/>
    </row>
    <row r="98" spans="1:76" ht="13.5">
      <c r="A98" s="454" t="s">
        <v>746</v>
      </c>
      <c r="B98" s="455" t="s">
        <v>732</v>
      </c>
      <c r="C98" s="428" t="s">
        <v>733</v>
      </c>
      <c r="D98" s="424"/>
      <c r="E98" s="455" t="s">
        <v>687</v>
      </c>
      <c r="F98" s="456">
        <v>1012.53188</v>
      </c>
      <c r="G98" s="456">
        <v>0</v>
      </c>
      <c r="H98" s="456">
        <f>F98*AO98</f>
        <v>0</v>
      </c>
      <c r="I98" s="456">
        <f>F98*AP98</f>
        <v>0</v>
      </c>
      <c r="J98" s="456">
        <f>F98*G98</f>
        <v>0</v>
      </c>
      <c r="K98" s="457" t="s">
        <v>1410</v>
      </c>
      <c r="Z98" s="456">
        <f>IF(AQ98="5",BJ98,0)</f>
        <v>0</v>
      </c>
      <c r="AB98" s="456">
        <f>IF(AQ98="1",BH98,0)</f>
        <v>0</v>
      </c>
      <c r="AC98" s="456">
        <f>IF(AQ98="1",BI98,0)</f>
        <v>0</v>
      </c>
      <c r="AD98" s="456">
        <f>IF(AQ98="7",BH98,0)</f>
        <v>0</v>
      </c>
      <c r="AE98" s="456">
        <f>IF(AQ98="7",BI98,0)</f>
        <v>0</v>
      </c>
      <c r="AF98" s="456">
        <f>IF(AQ98="2",BH98,0)</f>
        <v>0</v>
      </c>
      <c r="AG98" s="456">
        <f>IF(AQ98="2",BI98,0)</f>
        <v>0</v>
      </c>
      <c r="AH98" s="456">
        <f>IF(AQ98="0",BJ98,0)</f>
        <v>0</v>
      </c>
      <c r="AI98" s="438" t="s">
        <v>648</v>
      </c>
      <c r="AJ98" s="456">
        <f>IF(AN98=0,J98,0)</f>
        <v>0</v>
      </c>
      <c r="AK98" s="456">
        <f>IF(AN98=12,J98,0)</f>
        <v>0</v>
      </c>
      <c r="AL98" s="456">
        <f>IF(AN98=21,J98,0)</f>
        <v>0</v>
      </c>
      <c r="AN98" s="456">
        <v>21</v>
      </c>
      <c r="AO98" s="456">
        <f>G98*0</f>
        <v>0</v>
      </c>
      <c r="AP98" s="456">
        <f>G98*(1-0)</f>
        <v>0</v>
      </c>
      <c r="AQ98" s="458" t="s">
        <v>651</v>
      </c>
      <c r="AV98" s="456">
        <f>AW98+AX98</f>
        <v>0</v>
      </c>
      <c r="AW98" s="456">
        <f>F98*AO98</f>
        <v>0</v>
      </c>
      <c r="AX98" s="456">
        <f>F98*AP98</f>
        <v>0</v>
      </c>
      <c r="AY98" s="458" t="s">
        <v>726</v>
      </c>
      <c r="AZ98" s="458" t="s">
        <v>664</v>
      </c>
      <c r="BA98" s="438" t="s">
        <v>656</v>
      </c>
      <c r="BC98" s="456">
        <f>AW98+AX98</f>
        <v>0</v>
      </c>
      <c r="BD98" s="456">
        <f>G98/(100-BE98)*100</f>
        <v>0</v>
      </c>
      <c r="BE98" s="456">
        <v>0</v>
      </c>
      <c r="BF98" s="456">
        <f>98</f>
        <v>98</v>
      </c>
      <c r="BH98" s="456">
        <f>F98*AO98</f>
        <v>0</v>
      </c>
      <c r="BI98" s="456">
        <f>F98*AP98</f>
        <v>0</v>
      </c>
      <c r="BJ98" s="456">
        <f>F98*G98</f>
        <v>0</v>
      </c>
      <c r="BK98" s="456"/>
      <c r="BL98" s="456">
        <v>16</v>
      </c>
      <c r="BW98" s="456">
        <v>21</v>
      </c>
      <c r="BX98" s="459" t="s">
        <v>733</v>
      </c>
    </row>
    <row r="99" spans="1:76" ht="13.5">
      <c r="A99" s="460"/>
      <c r="C99" s="461" t="s">
        <v>734</v>
      </c>
      <c r="D99" s="461" t="s">
        <v>648</v>
      </c>
      <c r="F99" s="462">
        <v>14.892749999999999</v>
      </c>
      <c r="K99" s="463"/>
    </row>
    <row r="100" spans="1:76" ht="13.5">
      <c r="A100" s="460"/>
      <c r="C100" s="461" t="s">
        <v>1497</v>
      </c>
      <c r="D100" s="461" t="s">
        <v>648</v>
      </c>
      <c r="F100" s="462">
        <v>997.63913000000002</v>
      </c>
      <c r="K100" s="463"/>
    </row>
    <row r="101" spans="1:76" ht="13.5">
      <c r="A101" s="454" t="s">
        <v>749</v>
      </c>
      <c r="B101" s="455" t="s">
        <v>736</v>
      </c>
      <c r="C101" s="428" t="s">
        <v>737</v>
      </c>
      <c r="D101" s="424"/>
      <c r="E101" s="455" t="s">
        <v>687</v>
      </c>
      <c r="F101" s="456">
        <v>1012.53188</v>
      </c>
      <c r="G101" s="456">
        <v>0</v>
      </c>
      <c r="H101" s="456">
        <f>F101*AO101</f>
        <v>0</v>
      </c>
      <c r="I101" s="456">
        <f>F101*AP101</f>
        <v>0</v>
      </c>
      <c r="J101" s="456">
        <f>F101*G101</f>
        <v>0</v>
      </c>
      <c r="K101" s="457" t="s">
        <v>1410</v>
      </c>
      <c r="Z101" s="456">
        <f>IF(AQ101="5",BJ101,0)</f>
        <v>0</v>
      </c>
      <c r="AB101" s="456">
        <f>IF(AQ101="1",BH101,0)</f>
        <v>0</v>
      </c>
      <c r="AC101" s="456">
        <f>IF(AQ101="1",BI101,0)</f>
        <v>0</v>
      </c>
      <c r="AD101" s="456">
        <f>IF(AQ101="7",BH101,0)</f>
        <v>0</v>
      </c>
      <c r="AE101" s="456">
        <f>IF(AQ101="7",BI101,0)</f>
        <v>0</v>
      </c>
      <c r="AF101" s="456">
        <f>IF(AQ101="2",BH101,0)</f>
        <v>0</v>
      </c>
      <c r="AG101" s="456">
        <f>IF(AQ101="2",BI101,0)</f>
        <v>0</v>
      </c>
      <c r="AH101" s="456">
        <f>IF(AQ101="0",BJ101,0)</f>
        <v>0</v>
      </c>
      <c r="AI101" s="438" t="s">
        <v>648</v>
      </c>
      <c r="AJ101" s="456">
        <f>IF(AN101=0,J101,0)</f>
        <v>0</v>
      </c>
      <c r="AK101" s="456">
        <f>IF(AN101=12,J101,0)</f>
        <v>0</v>
      </c>
      <c r="AL101" s="456">
        <f>IF(AN101=21,J101,0)</f>
        <v>0</v>
      </c>
      <c r="AN101" s="456">
        <v>21</v>
      </c>
      <c r="AO101" s="456">
        <f>G101*0</f>
        <v>0</v>
      </c>
      <c r="AP101" s="456">
        <f>G101*(1-0)</f>
        <v>0</v>
      </c>
      <c r="AQ101" s="458" t="s">
        <v>651</v>
      </c>
      <c r="AV101" s="456">
        <f>AW101+AX101</f>
        <v>0</v>
      </c>
      <c r="AW101" s="456">
        <f>F101*AO101</f>
        <v>0</v>
      </c>
      <c r="AX101" s="456">
        <f>F101*AP101</f>
        <v>0</v>
      </c>
      <c r="AY101" s="458" t="s">
        <v>726</v>
      </c>
      <c r="AZ101" s="458" t="s">
        <v>664</v>
      </c>
      <c r="BA101" s="438" t="s">
        <v>656</v>
      </c>
      <c r="BC101" s="456">
        <f>AW101+AX101</f>
        <v>0</v>
      </c>
      <c r="BD101" s="456">
        <f>G101/(100-BE101)*100</f>
        <v>0</v>
      </c>
      <c r="BE101" s="456">
        <v>0</v>
      </c>
      <c r="BF101" s="456">
        <f>101</f>
        <v>101</v>
      </c>
      <c r="BH101" s="456">
        <f>F101*AO101</f>
        <v>0</v>
      </c>
      <c r="BI101" s="456">
        <f>F101*AP101</f>
        <v>0</v>
      </c>
      <c r="BJ101" s="456">
        <f>F101*G101</f>
        <v>0</v>
      </c>
      <c r="BK101" s="456"/>
      <c r="BL101" s="456">
        <v>16</v>
      </c>
      <c r="BW101" s="456">
        <v>21</v>
      </c>
      <c r="BX101" s="459" t="s">
        <v>737</v>
      </c>
    </row>
    <row r="102" spans="1:76" ht="13.5">
      <c r="A102" s="460"/>
      <c r="C102" s="461" t="s">
        <v>1498</v>
      </c>
      <c r="D102" s="461" t="s">
        <v>648</v>
      </c>
      <c r="F102" s="462">
        <v>1012.53188</v>
      </c>
      <c r="K102" s="463"/>
    </row>
    <row r="103" spans="1:76" ht="13.5">
      <c r="A103" s="454" t="s">
        <v>753</v>
      </c>
      <c r="B103" s="455" t="s">
        <v>732</v>
      </c>
      <c r="C103" s="428" t="s">
        <v>739</v>
      </c>
      <c r="D103" s="424"/>
      <c r="E103" s="455" t="s">
        <v>687</v>
      </c>
      <c r="F103" s="456">
        <v>1012.53198</v>
      </c>
      <c r="G103" s="456">
        <v>0</v>
      </c>
      <c r="H103" s="456">
        <f>F103*AO103</f>
        <v>0</v>
      </c>
      <c r="I103" s="456">
        <f>F103*AP103</f>
        <v>0</v>
      </c>
      <c r="J103" s="456">
        <f>F103*G103</f>
        <v>0</v>
      </c>
      <c r="K103" s="457" t="s">
        <v>1410</v>
      </c>
      <c r="Z103" s="456">
        <f>IF(AQ103="5",BJ103,0)</f>
        <v>0</v>
      </c>
      <c r="AB103" s="456">
        <f>IF(AQ103="1",BH103,0)</f>
        <v>0</v>
      </c>
      <c r="AC103" s="456">
        <f>IF(AQ103="1",BI103,0)</f>
        <v>0</v>
      </c>
      <c r="AD103" s="456">
        <f>IF(AQ103="7",BH103,0)</f>
        <v>0</v>
      </c>
      <c r="AE103" s="456">
        <f>IF(AQ103="7",BI103,0)</f>
        <v>0</v>
      </c>
      <c r="AF103" s="456">
        <f>IF(AQ103="2",BH103,0)</f>
        <v>0</v>
      </c>
      <c r="AG103" s="456">
        <f>IF(AQ103="2",BI103,0)</f>
        <v>0</v>
      </c>
      <c r="AH103" s="456">
        <f>IF(AQ103="0",BJ103,0)</f>
        <v>0</v>
      </c>
      <c r="AI103" s="438" t="s">
        <v>648</v>
      </c>
      <c r="AJ103" s="456">
        <f>IF(AN103=0,J103,0)</f>
        <v>0</v>
      </c>
      <c r="AK103" s="456">
        <f>IF(AN103=12,J103,0)</f>
        <v>0</v>
      </c>
      <c r="AL103" s="456">
        <f>IF(AN103=21,J103,0)</f>
        <v>0</v>
      </c>
      <c r="AN103" s="456">
        <v>21</v>
      </c>
      <c r="AO103" s="456">
        <f>G103*0</f>
        <v>0</v>
      </c>
      <c r="AP103" s="456">
        <f>G103*(1-0)</f>
        <v>0</v>
      </c>
      <c r="AQ103" s="458" t="s">
        <v>651</v>
      </c>
      <c r="AV103" s="456">
        <f>AW103+AX103</f>
        <v>0</v>
      </c>
      <c r="AW103" s="456">
        <f>F103*AO103</f>
        <v>0</v>
      </c>
      <c r="AX103" s="456">
        <f>F103*AP103</f>
        <v>0</v>
      </c>
      <c r="AY103" s="458" t="s">
        <v>726</v>
      </c>
      <c r="AZ103" s="458" t="s">
        <v>664</v>
      </c>
      <c r="BA103" s="438" t="s">
        <v>656</v>
      </c>
      <c r="BC103" s="456">
        <f>AW103+AX103</f>
        <v>0</v>
      </c>
      <c r="BD103" s="456">
        <f>G103/(100-BE103)*100</f>
        <v>0</v>
      </c>
      <c r="BE103" s="456">
        <v>0</v>
      </c>
      <c r="BF103" s="456">
        <f>103</f>
        <v>103</v>
      </c>
      <c r="BH103" s="456">
        <f>F103*AO103</f>
        <v>0</v>
      </c>
      <c r="BI103" s="456">
        <f>F103*AP103</f>
        <v>0</v>
      </c>
      <c r="BJ103" s="456">
        <f>F103*G103</f>
        <v>0</v>
      </c>
      <c r="BK103" s="456"/>
      <c r="BL103" s="456">
        <v>16</v>
      </c>
      <c r="BW103" s="456">
        <v>21</v>
      </c>
      <c r="BX103" s="459" t="s">
        <v>739</v>
      </c>
    </row>
    <row r="104" spans="1:76" ht="13.5">
      <c r="A104" s="460"/>
      <c r="C104" s="461" t="s">
        <v>740</v>
      </c>
      <c r="D104" s="461" t="s">
        <v>648</v>
      </c>
      <c r="F104" s="462">
        <v>14.892849999999999</v>
      </c>
      <c r="K104" s="463"/>
    </row>
    <row r="105" spans="1:76" ht="13.5">
      <c r="A105" s="460"/>
      <c r="C105" s="461" t="s">
        <v>1497</v>
      </c>
      <c r="D105" s="461" t="s">
        <v>648</v>
      </c>
      <c r="F105" s="462">
        <v>997.63913000000002</v>
      </c>
      <c r="K105" s="463"/>
    </row>
    <row r="106" spans="1:76" ht="13.5">
      <c r="A106" s="454" t="s">
        <v>761</v>
      </c>
      <c r="B106" s="455" t="s">
        <v>736</v>
      </c>
      <c r="C106" s="428" t="s">
        <v>742</v>
      </c>
      <c r="D106" s="424"/>
      <c r="E106" s="455" t="s">
        <v>687</v>
      </c>
      <c r="F106" s="456">
        <v>1012.53198</v>
      </c>
      <c r="G106" s="456">
        <v>0</v>
      </c>
      <c r="H106" s="456">
        <f>F106*AO106</f>
        <v>0</v>
      </c>
      <c r="I106" s="456">
        <f>F106*AP106</f>
        <v>0</v>
      </c>
      <c r="J106" s="456">
        <f>F106*G106</f>
        <v>0</v>
      </c>
      <c r="K106" s="457" t="s">
        <v>1410</v>
      </c>
      <c r="Z106" s="456">
        <f>IF(AQ106="5",BJ106,0)</f>
        <v>0</v>
      </c>
      <c r="AB106" s="456">
        <f>IF(AQ106="1",BH106,0)</f>
        <v>0</v>
      </c>
      <c r="AC106" s="456">
        <f>IF(AQ106="1",BI106,0)</f>
        <v>0</v>
      </c>
      <c r="AD106" s="456">
        <f>IF(AQ106="7",BH106,0)</f>
        <v>0</v>
      </c>
      <c r="AE106" s="456">
        <f>IF(AQ106="7",BI106,0)</f>
        <v>0</v>
      </c>
      <c r="AF106" s="456">
        <f>IF(AQ106="2",BH106,0)</f>
        <v>0</v>
      </c>
      <c r="AG106" s="456">
        <f>IF(AQ106="2",BI106,0)</f>
        <v>0</v>
      </c>
      <c r="AH106" s="456">
        <f>IF(AQ106="0",BJ106,0)</f>
        <v>0</v>
      </c>
      <c r="AI106" s="438" t="s">
        <v>648</v>
      </c>
      <c r="AJ106" s="456">
        <f>IF(AN106=0,J106,0)</f>
        <v>0</v>
      </c>
      <c r="AK106" s="456">
        <f>IF(AN106=12,J106,0)</f>
        <v>0</v>
      </c>
      <c r="AL106" s="456">
        <f>IF(AN106=21,J106,0)</f>
        <v>0</v>
      </c>
      <c r="AN106" s="456">
        <v>21</v>
      </c>
      <c r="AO106" s="456">
        <f>G106*0</f>
        <v>0</v>
      </c>
      <c r="AP106" s="456">
        <f>G106*(1-0)</f>
        <v>0</v>
      </c>
      <c r="AQ106" s="458" t="s">
        <v>651</v>
      </c>
      <c r="AV106" s="456">
        <f>AW106+AX106</f>
        <v>0</v>
      </c>
      <c r="AW106" s="456">
        <f>F106*AO106</f>
        <v>0</v>
      </c>
      <c r="AX106" s="456">
        <f>F106*AP106</f>
        <v>0</v>
      </c>
      <c r="AY106" s="458" t="s">
        <v>726</v>
      </c>
      <c r="AZ106" s="458" t="s">
        <v>664</v>
      </c>
      <c r="BA106" s="438" t="s">
        <v>656</v>
      </c>
      <c r="BC106" s="456">
        <f>AW106+AX106</f>
        <v>0</v>
      </c>
      <c r="BD106" s="456">
        <f>G106/(100-BE106)*100</f>
        <v>0</v>
      </c>
      <c r="BE106" s="456">
        <v>0</v>
      </c>
      <c r="BF106" s="456">
        <f>106</f>
        <v>106</v>
      </c>
      <c r="BH106" s="456">
        <f>F106*AO106</f>
        <v>0</v>
      </c>
      <c r="BI106" s="456">
        <f>F106*AP106</f>
        <v>0</v>
      </c>
      <c r="BJ106" s="456">
        <f>F106*G106</f>
        <v>0</v>
      </c>
      <c r="BK106" s="456"/>
      <c r="BL106" s="456">
        <v>16</v>
      </c>
      <c r="BW106" s="456">
        <v>21</v>
      </c>
      <c r="BX106" s="459" t="s">
        <v>742</v>
      </c>
    </row>
    <row r="107" spans="1:76" ht="13.5">
      <c r="A107" s="460"/>
      <c r="C107" s="461" t="s">
        <v>1499</v>
      </c>
      <c r="D107" s="461" t="s">
        <v>648</v>
      </c>
      <c r="F107" s="462">
        <v>1012.53198</v>
      </c>
      <c r="K107" s="463"/>
    </row>
    <row r="108" spans="1:76" ht="13.5">
      <c r="A108" s="454" t="s">
        <v>769</v>
      </c>
      <c r="B108" s="455" t="s">
        <v>732</v>
      </c>
      <c r="C108" s="428" t="s">
        <v>744</v>
      </c>
      <c r="D108" s="424"/>
      <c r="E108" s="455" t="s">
        <v>687</v>
      </c>
      <c r="F108" s="456">
        <v>964.88234999999997</v>
      </c>
      <c r="G108" s="456">
        <v>0</v>
      </c>
      <c r="H108" s="456">
        <f>F108*AO108</f>
        <v>0</v>
      </c>
      <c r="I108" s="456">
        <f>F108*AP108</f>
        <v>0</v>
      </c>
      <c r="J108" s="456">
        <f>F108*G108</f>
        <v>0</v>
      </c>
      <c r="K108" s="457" t="s">
        <v>1410</v>
      </c>
      <c r="Z108" s="456">
        <f>IF(AQ108="5",BJ108,0)</f>
        <v>0</v>
      </c>
      <c r="AB108" s="456">
        <f>IF(AQ108="1",BH108,0)</f>
        <v>0</v>
      </c>
      <c r="AC108" s="456">
        <f>IF(AQ108="1",BI108,0)</f>
        <v>0</v>
      </c>
      <c r="AD108" s="456">
        <f>IF(AQ108="7",BH108,0)</f>
        <v>0</v>
      </c>
      <c r="AE108" s="456">
        <f>IF(AQ108="7",BI108,0)</f>
        <v>0</v>
      </c>
      <c r="AF108" s="456">
        <f>IF(AQ108="2",BH108,0)</f>
        <v>0</v>
      </c>
      <c r="AG108" s="456">
        <f>IF(AQ108="2",BI108,0)</f>
        <v>0</v>
      </c>
      <c r="AH108" s="456">
        <f>IF(AQ108="0",BJ108,0)</f>
        <v>0</v>
      </c>
      <c r="AI108" s="438" t="s">
        <v>648</v>
      </c>
      <c r="AJ108" s="456">
        <f>IF(AN108=0,J108,0)</f>
        <v>0</v>
      </c>
      <c r="AK108" s="456">
        <f>IF(AN108=12,J108,0)</f>
        <v>0</v>
      </c>
      <c r="AL108" s="456">
        <f>IF(AN108=21,J108,0)</f>
        <v>0</v>
      </c>
      <c r="AN108" s="456">
        <v>21</v>
      </c>
      <c r="AO108" s="456">
        <f>G108*0</f>
        <v>0</v>
      </c>
      <c r="AP108" s="456">
        <f>G108*(1-0)</f>
        <v>0</v>
      </c>
      <c r="AQ108" s="458" t="s">
        <v>651</v>
      </c>
      <c r="AV108" s="456">
        <f>AW108+AX108</f>
        <v>0</v>
      </c>
      <c r="AW108" s="456">
        <f>F108*AO108</f>
        <v>0</v>
      </c>
      <c r="AX108" s="456">
        <f>F108*AP108</f>
        <v>0</v>
      </c>
      <c r="AY108" s="458" t="s">
        <v>726</v>
      </c>
      <c r="AZ108" s="458" t="s">
        <v>664</v>
      </c>
      <c r="BA108" s="438" t="s">
        <v>656</v>
      </c>
      <c r="BC108" s="456">
        <f>AW108+AX108</f>
        <v>0</v>
      </c>
      <c r="BD108" s="456">
        <f>G108/(100-BE108)*100</f>
        <v>0</v>
      </c>
      <c r="BE108" s="456">
        <v>0</v>
      </c>
      <c r="BF108" s="456">
        <f>108</f>
        <v>108</v>
      </c>
      <c r="BH108" s="456">
        <f>F108*AO108</f>
        <v>0</v>
      </c>
      <c r="BI108" s="456">
        <f>F108*AP108</f>
        <v>0</v>
      </c>
      <c r="BJ108" s="456">
        <f>F108*G108</f>
        <v>0</v>
      </c>
      <c r="BK108" s="456"/>
      <c r="BL108" s="456">
        <v>16</v>
      </c>
      <c r="BW108" s="456">
        <v>21</v>
      </c>
      <c r="BX108" s="459" t="s">
        <v>744</v>
      </c>
    </row>
    <row r="109" spans="1:76" ht="13.5">
      <c r="A109" s="460"/>
      <c r="C109" s="461" t="s">
        <v>1500</v>
      </c>
      <c r="D109" s="461" t="s">
        <v>648</v>
      </c>
      <c r="F109" s="462">
        <v>1977.4142300000001</v>
      </c>
      <c r="K109" s="463"/>
    </row>
    <row r="110" spans="1:76" ht="13.5">
      <c r="A110" s="460"/>
      <c r="C110" s="461" t="s">
        <v>745</v>
      </c>
      <c r="D110" s="461" t="s">
        <v>648</v>
      </c>
      <c r="F110" s="462">
        <v>-14.892749999999999</v>
      </c>
      <c r="K110" s="463"/>
    </row>
    <row r="111" spans="1:76" ht="13.5">
      <c r="A111" s="460"/>
      <c r="C111" s="461" t="s">
        <v>1501</v>
      </c>
      <c r="D111" s="461" t="s">
        <v>648</v>
      </c>
      <c r="F111" s="462">
        <v>-997.63913000000002</v>
      </c>
      <c r="K111" s="463"/>
    </row>
    <row r="112" spans="1:76" ht="13.5">
      <c r="A112" s="454" t="s">
        <v>771</v>
      </c>
      <c r="B112" s="455" t="s">
        <v>747</v>
      </c>
      <c r="C112" s="428" t="s">
        <v>748</v>
      </c>
      <c r="D112" s="424"/>
      <c r="E112" s="455" t="s">
        <v>687</v>
      </c>
      <c r="F112" s="456">
        <v>964.88234999999997</v>
      </c>
      <c r="G112" s="456">
        <v>0</v>
      </c>
      <c r="H112" s="456">
        <f>F112*AO112</f>
        <v>0</v>
      </c>
      <c r="I112" s="456">
        <f>F112*AP112</f>
        <v>0</v>
      </c>
      <c r="J112" s="456">
        <f>F112*G112</f>
        <v>0</v>
      </c>
      <c r="K112" s="457" t="s">
        <v>1410</v>
      </c>
      <c r="Z112" s="456">
        <f>IF(AQ112="5",BJ112,0)</f>
        <v>0</v>
      </c>
      <c r="AB112" s="456">
        <f>IF(AQ112="1",BH112,0)</f>
        <v>0</v>
      </c>
      <c r="AC112" s="456">
        <f>IF(AQ112="1",BI112,0)</f>
        <v>0</v>
      </c>
      <c r="AD112" s="456">
        <f>IF(AQ112="7",BH112,0)</f>
        <v>0</v>
      </c>
      <c r="AE112" s="456">
        <f>IF(AQ112="7",BI112,0)</f>
        <v>0</v>
      </c>
      <c r="AF112" s="456">
        <f>IF(AQ112="2",BH112,0)</f>
        <v>0</v>
      </c>
      <c r="AG112" s="456">
        <f>IF(AQ112="2",BI112,0)</f>
        <v>0</v>
      </c>
      <c r="AH112" s="456">
        <f>IF(AQ112="0",BJ112,0)</f>
        <v>0</v>
      </c>
      <c r="AI112" s="438" t="s">
        <v>648</v>
      </c>
      <c r="AJ112" s="456">
        <f>IF(AN112=0,J112,0)</f>
        <v>0</v>
      </c>
      <c r="AK112" s="456">
        <f>IF(AN112=12,J112,0)</f>
        <v>0</v>
      </c>
      <c r="AL112" s="456">
        <f>IF(AN112=21,J112,0)</f>
        <v>0</v>
      </c>
      <c r="AN112" s="456">
        <v>21</v>
      </c>
      <c r="AO112" s="456">
        <f>G112*0</f>
        <v>0</v>
      </c>
      <c r="AP112" s="456">
        <f>G112*(1-0)</f>
        <v>0</v>
      </c>
      <c r="AQ112" s="458" t="s">
        <v>651</v>
      </c>
      <c r="AV112" s="456">
        <f>AW112+AX112</f>
        <v>0</v>
      </c>
      <c r="AW112" s="456">
        <f>F112*AO112</f>
        <v>0</v>
      </c>
      <c r="AX112" s="456">
        <f>F112*AP112</f>
        <v>0</v>
      </c>
      <c r="AY112" s="458" t="s">
        <v>726</v>
      </c>
      <c r="AZ112" s="458" t="s">
        <v>664</v>
      </c>
      <c r="BA112" s="438" t="s">
        <v>656</v>
      </c>
      <c r="BC112" s="456">
        <f>AW112+AX112</f>
        <v>0</v>
      </c>
      <c r="BD112" s="456">
        <f>G112/(100-BE112)*100</f>
        <v>0</v>
      </c>
      <c r="BE112" s="456">
        <v>0</v>
      </c>
      <c r="BF112" s="456">
        <f>112</f>
        <v>112</v>
      </c>
      <c r="BH112" s="456">
        <f>F112*AO112</f>
        <v>0</v>
      </c>
      <c r="BI112" s="456">
        <f>F112*AP112</f>
        <v>0</v>
      </c>
      <c r="BJ112" s="456">
        <f>F112*G112</f>
        <v>0</v>
      </c>
      <c r="BK112" s="456"/>
      <c r="BL112" s="456">
        <v>16</v>
      </c>
      <c r="BW112" s="456">
        <v>21</v>
      </c>
      <c r="BX112" s="459" t="s">
        <v>748</v>
      </c>
    </row>
    <row r="113" spans="1:76" ht="13.5">
      <c r="A113" s="460"/>
      <c r="C113" s="461" t="s">
        <v>1502</v>
      </c>
      <c r="D113" s="461" t="s">
        <v>648</v>
      </c>
      <c r="F113" s="462">
        <v>964.88234999999997</v>
      </c>
      <c r="K113" s="463"/>
    </row>
    <row r="114" spans="1:76" ht="13.5">
      <c r="A114" s="454" t="s">
        <v>774</v>
      </c>
      <c r="B114" s="455" t="s">
        <v>750</v>
      </c>
      <c r="C114" s="428" t="s">
        <v>751</v>
      </c>
      <c r="D114" s="424"/>
      <c r="E114" s="455" t="s">
        <v>687</v>
      </c>
      <c r="F114" s="456">
        <v>18332.764650000001</v>
      </c>
      <c r="G114" s="456">
        <v>0</v>
      </c>
      <c r="H114" s="456">
        <f>F114*AO114</f>
        <v>0</v>
      </c>
      <c r="I114" s="456">
        <f>F114*AP114</f>
        <v>0</v>
      </c>
      <c r="J114" s="456">
        <f>F114*G114</f>
        <v>0</v>
      </c>
      <c r="K114" s="457" t="s">
        <v>1410</v>
      </c>
      <c r="Z114" s="456">
        <f>IF(AQ114="5",BJ114,0)</f>
        <v>0</v>
      </c>
      <c r="AB114" s="456">
        <f>IF(AQ114="1",BH114,0)</f>
        <v>0</v>
      </c>
      <c r="AC114" s="456">
        <f>IF(AQ114="1",BI114,0)</f>
        <v>0</v>
      </c>
      <c r="AD114" s="456">
        <f>IF(AQ114="7",BH114,0)</f>
        <v>0</v>
      </c>
      <c r="AE114" s="456">
        <f>IF(AQ114="7",BI114,0)</f>
        <v>0</v>
      </c>
      <c r="AF114" s="456">
        <f>IF(AQ114="2",BH114,0)</f>
        <v>0</v>
      </c>
      <c r="AG114" s="456">
        <f>IF(AQ114="2",BI114,0)</f>
        <v>0</v>
      </c>
      <c r="AH114" s="456">
        <f>IF(AQ114="0",BJ114,0)</f>
        <v>0</v>
      </c>
      <c r="AI114" s="438" t="s">
        <v>648</v>
      </c>
      <c r="AJ114" s="456">
        <f>IF(AN114=0,J114,0)</f>
        <v>0</v>
      </c>
      <c r="AK114" s="456">
        <f>IF(AN114=12,J114,0)</f>
        <v>0</v>
      </c>
      <c r="AL114" s="456">
        <f>IF(AN114=21,J114,0)</f>
        <v>0</v>
      </c>
      <c r="AN114" s="456">
        <v>21</v>
      </c>
      <c r="AO114" s="456">
        <f>G114*0</f>
        <v>0</v>
      </c>
      <c r="AP114" s="456">
        <f>G114*(1-0)</f>
        <v>0</v>
      </c>
      <c r="AQ114" s="458" t="s">
        <v>651</v>
      </c>
      <c r="AV114" s="456">
        <f>AW114+AX114</f>
        <v>0</v>
      </c>
      <c r="AW114" s="456">
        <f>F114*AO114</f>
        <v>0</v>
      </c>
      <c r="AX114" s="456">
        <f>F114*AP114</f>
        <v>0</v>
      </c>
      <c r="AY114" s="458" t="s">
        <v>726</v>
      </c>
      <c r="AZ114" s="458" t="s">
        <v>664</v>
      </c>
      <c r="BA114" s="438" t="s">
        <v>656</v>
      </c>
      <c r="BC114" s="456">
        <f>AW114+AX114</f>
        <v>0</v>
      </c>
      <c r="BD114" s="456">
        <f>G114/(100-BE114)*100</f>
        <v>0</v>
      </c>
      <c r="BE114" s="456">
        <v>0</v>
      </c>
      <c r="BF114" s="456">
        <f>114</f>
        <v>114</v>
      </c>
      <c r="BH114" s="456">
        <f>F114*AO114</f>
        <v>0</v>
      </c>
      <c r="BI114" s="456">
        <f>F114*AP114</f>
        <v>0</v>
      </c>
      <c r="BJ114" s="456">
        <f>F114*G114</f>
        <v>0</v>
      </c>
      <c r="BK114" s="456"/>
      <c r="BL114" s="456">
        <v>16</v>
      </c>
      <c r="BW114" s="456">
        <v>21</v>
      </c>
      <c r="BX114" s="459" t="s">
        <v>751</v>
      </c>
    </row>
    <row r="115" spans="1:76" ht="13.5">
      <c r="A115" s="460"/>
      <c r="C115" s="461" t="s">
        <v>1503</v>
      </c>
      <c r="D115" s="461" t="s">
        <v>648</v>
      </c>
      <c r="F115" s="462">
        <v>18332.764650000001</v>
      </c>
      <c r="K115" s="463"/>
    </row>
    <row r="116" spans="1:76" ht="13.5">
      <c r="A116" s="448" t="s">
        <v>648</v>
      </c>
      <c r="B116" s="449" t="s">
        <v>719</v>
      </c>
      <c r="C116" s="450" t="s">
        <v>752</v>
      </c>
      <c r="D116" s="451"/>
      <c r="E116" s="452" t="s">
        <v>607</v>
      </c>
      <c r="F116" s="452" t="s">
        <v>607</v>
      </c>
      <c r="G116" s="452" t="s">
        <v>607</v>
      </c>
      <c r="H116" s="416">
        <f>SUM(H117:H148)</f>
        <v>0</v>
      </c>
      <c r="I116" s="416">
        <f>SUM(I117:I148)</f>
        <v>0</v>
      </c>
      <c r="J116" s="416">
        <f>SUM(J117:J148)</f>
        <v>0</v>
      </c>
      <c r="K116" s="453" t="s">
        <v>648</v>
      </c>
      <c r="AI116" s="438" t="s">
        <v>648</v>
      </c>
      <c r="AS116" s="416">
        <f>SUM(AJ117:AJ148)</f>
        <v>0</v>
      </c>
      <c r="AT116" s="416">
        <f>SUM(AK117:AK148)</f>
        <v>0</v>
      </c>
      <c r="AU116" s="416">
        <f>SUM(AL117:AL148)</f>
        <v>0</v>
      </c>
    </row>
    <row r="117" spans="1:76" ht="13.5">
      <c r="A117" s="454" t="s">
        <v>776</v>
      </c>
      <c r="B117" s="455" t="s">
        <v>754</v>
      </c>
      <c r="C117" s="428" t="s">
        <v>755</v>
      </c>
      <c r="D117" s="424"/>
      <c r="E117" s="455" t="s">
        <v>687</v>
      </c>
      <c r="F117" s="456">
        <v>14.892749999999999</v>
      </c>
      <c r="G117" s="456">
        <v>0</v>
      </c>
      <c r="H117" s="456">
        <f>F117*AO117</f>
        <v>0</v>
      </c>
      <c r="I117" s="456">
        <f>F117*AP117</f>
        <v>0</v>
      </c>
      <c r="J117" s="456">
        <f>F117*G117</f>
        <v>0</v>
      </c>
      <c r="K117" s="457" t="s">
        <v>1410</v>
      </c>
      <c r="Z117" s="456">
        <f>IF(AQ117="5",BJ117,0)</f>
        <v>0</v>
      </c>
      <c r="AB117" s="456">
        <f>IF(AQ117="1",BH117,0)</f>
        <v>0</v>
      </c>
      <c r="AC117" s="456">
        <f>IF(AQ117="1",BI117,0)</f>
        <v>0</v>
      </c>
      <c r="AD117" s="456">
        <f>IF(AQ117="7",BH117,0)</f>
        <v>0</v>
      </c>
      <c r="AE117" s="456">
        <f>IF(AQ117="7",BI117,0)</f>
        <v>0</v>
      </c>
      <c r="AF117" s="456">
        <f>IF(AQ117="2",BH117,0)</f>
        <v>0</v>
      </c>
      <c r="AG117" s="456">
        <f>IF(AQ117="2",BI117,0)</f>
        <v>0</v>
      </c>
      <c r="AH117" s="456">
        <f>IF(AQ117="0",BJ117,0)</f>
        <v>0</v>
      </c>
      <c r="AI117" s="438" t="s">
        <v>648</v>
      </c>
      <c r="AJ117" s="456">
        <f>IF(AN117=0,J117,0)</f>
        <v>0</v>
      </c>
      <c r="AK117" s="456">
        <f>IF(AN117=12,J117,0)</f>
        <v>0</v>
      </c>
      <c r="AL117" s="456">
        <f>IF(AN117=21,J117,0)</f>
        <v>0</v>
      </c>
      <c r="AN117" s="456">
        <v>21</v>
      </c>
      <c r="AO117" s="456">
        <f>G117*0</f>
        <v>0</v>
      </c>
      <c r="AP117" s="456">
        <f>G117*(1-0)</f>
        <v>0</v>
      </c>
      <c r="AQ117" s="458" t="s">
        <v>651</v>
      </c>
      <c r="AV117" s="456">
        <f>AW117+AX117</f>
        <v>0</v>
      </c>
      <c r="AW117" s="456">
        <f>F117*AO117</f>
        <v>0</v>
      </c>
      <c r="AX117" s="456">
        <f>F117*AP117</f>
        <v>0</v>
      </c>
      <c r="AY117" s="458" t="s">
        <v>756</v>
      </c>
      <c r="AZ117" s="458" t="s">
        <v>664</v>
      </c>
      <c r="BA117" s="438" t="s">
        <v>656</v>
      </c>
      <c r="BC117" s="456">
        <f>AW117+AX117</f>
        <v>0</v>
      </c>
      <c r="BD117" s="456">
        <f>G117/(100-BE117)*100</f>
        <v>0</v>
      </c>
      <c r="BE117" s="456">
        <v>0</v>
      </c>
      <c r="BF117" s="456">
        <f>117</f>
        <v>117</v>
      </c>
      <c r="BH117" s="456">
        <f>F117*AO117</f>
        <v>0</v>
      </c>
      <c r="BI117" s="456">
        <f>F117*AP117</f>
        <v>0</v>
      </c>
      <c r="BJ117" s="456">
        <f>F117*G117</f>
        <v>0</v>
      </c>
      <c r="BK117" s="456"/>
      <c r="BL117" s="456">
        <v>17</v>
      </c>
      <c r="BW117" s="456">
        <v>21</v>
      </c>
      <c r="BX117" s="459" t="s">
        <v>755</v>
      </c>
    </row>
    <row r="118" spans="1:76" ht="13.5">
      <c r="A118" s="460"/>
      <c r="C118" s="461" t="s">
        <v>757</v>
      </c>
      <c r="D118" s="461" t="s">
        <v>648</v>
      </c>
      <c r="F118" s="462">
        <v>16.649999999999999</v>
      </c>
      <c r="K118" s="463"/>
    </row>
    <row r="119" spans="1:76" ht="13.5">
      <c r="A119" s="460"/>
      <c r="C119" s="461" t="s">
        <v>758</v>
      </c>
      <c r="D119" s="461" t="s">
        <v>648</v>
      </c>
      <c r="F119" s="462">
        <v>-0.18</v>
      </c>
      <c r="K119" s="463"/>
    </row>
    <row r="120" spans="1:76" ht="13.5">
      <c r="A120" s="460"/>
      <c r="C120" s="461" t="s">
        <v>759</v>
      </c>
      <c r="D120" s="461" t="s">
        <v>648</v>
      </c>
      <c r="F120" s="462">
        <v>-0.125</v>
      </c>
      <c r="K120" s="463"/>
    </row>
    <row r="121" spans="1:76" ht="13.5">
      <c r="A121" s="460"/>
      <c r="C121" s="461" t="s">
        <v>760</v>
      </c>
      <c r="D121" s="461" t="s">
        <v>648</v>
      </c>
      <c r="F121" s="462">
        <v>-1.45225</v>
      </c>
      <c r="K121" s="463"/>
    </row>
    <row r="122" spans="1:76" ht="13.5">
      <c r="A122" s="454" t="s">
        <v>780</v>
      </c>
      <c r="B122" s="455" t="s">
        <v>762</v>
      </c>
      <c r="C122" s="428" t="s">
        <v>763</v>
      </c>
      <c r="D122" s="424"/>
      <c r="E122" s="455" t="s">
        <v>687</v>
      </c>
      <c r="F122" s="456">
        <v>750.85801000000004</v>
      </c>
      <c r="G122" s="456">
        <v>0</v>
      </c>
      <c r="H122" s="456">
        <f>F122*AO122</f>
        <v>0</v>
      </c>
      <c r="I122" s="456">
        <f>F122*AP122</f>
        <v>0</v>
      </c>
      <c r="J122" s="456">
        <f>F122*G122</f>
        <v>0</v>
      </c>
      <c r="K122" s="457" t="s">
        <v>1410</v>
      </c>
      <c r="Z122" s="456">
        <f>IF(AQ122="5",BJ122,0)</f>
        <v>0</v>
      </c>
      <c r="AB122" s="456">
        <f>IF(AQ122="1",BH122,0)</f>
        <v>0</v>
      </c>
      <c r="AC122" s="456">
        <f>IF(AQ122="1",BI122,0)</f>
        <v>0</v>
      </c>
      <c r="AD122" s="456">
        <f>IF(AQ122="7",BH122,0)</f>
        <v>0</v>
      </c>
      <c r="AE122" s="456">
        <f>IF(AQ122="7",BI122,0)</f>
        <v>0</v>
      </c>
      <c r="AF122" s="456">
        <f>IF(AQ122="2",BH122,0)</f>
        <v>0</v>
      </c>
      <c r="AG122" s="456">
        <f>IF(AQ122="2",BI122,0)</f>
        <v>0</v>
      </c>
      <c r="AH122" s="456">
        <f>IF(AQ122="0",BJ122,0)</f>
        <v>0</v>
      </c>
      <c r="AI122" s="438" t="s">
        <v>648</v>
      </c>
      <c r="AJ122" s="456">
        <f>IF(AN122=0,J122,0)</f>
        <v>0</v>
      </c>
      <c r="AK122" s="456">
        <f>IF(AN122=12,J122,0)</f>
        <v>0</v>
      </c>
      <c r="AL122" s="456">
        <f>IF(AN122=21,J122,0)</f>
        <v>0</v>
      </c>
      <c r="AN122" s="456">
        <v>21</v>
      </c>
      <c r="AO122" s="456">
        <f>G122*0.306482533</f>
        <v>0</v>
      </c>
      <c r="AP122" s="456">
        <f>G122*(1-0.306482533)</f>
        <v>0</v>
      </c>
      <c r="AQ122" s="458" t="s">
        <v>651</v>
      </c>
      <c r="AV122" s="456">
        <f>AW122+AX122</f>
        <v>0</v>
      </c>
      <c r="AW122" s="456">
        <f>F122*AO122</f>
        <v>0</v>
      </c>
      <c r="AX122" s="456">
        <f>F122*AP122</f>
        <v>0</v>
      </c>
      <c r="AY122" s="458" t="s">
        <v>756</v>
      </c>
      <c r="AZ122" s="458" t="s">
        <v>664</v>
      </c>
      <c r="BA122" s="438" t="s">
        <v>656</v>
      </c>
      <c r="BC122" s="456">
        <f>AW122+AX122</f>
        <v>0</v>
      </c>
      <c r="BD122" s="456">
        <f>G122/(100-BE122)*100</f>
        <v>0</v>
      </c>
      <c r="BE122" s="456">
        <v>0</v>
      </c>
      <c r="BF122" s="456">
        <f>122</f>
        <v>122</v>
      </c>
      <c r="BH122" s="456">
        <f>F122*AO122</f>
        <v>0</v>
      </c>
      <c r="BI122" s="456">
        <f>F122*AP122</f>
        <v>0</v>
      </c>
      <c r="BJ122" s="456">
        <f>F122*G122</f>
        <v>0</v>
      </c>
      <c r="BK122" s="456"/>
      <c r="BL122" s="456">
        <v>17</v>
      </c>
      <c r="BW122" s="456">
        <v>21</v>
      </c>
      <c r="BX122" s="459" t="s">
        <v>763</v>
      </c>
    </row>
    <row r="123" spans="1:76" ht="13.5">
      <c r="A123" s="460"/>
      <c r="C123" s="461" t="s">
        <v>764</v>
      </c>
      <c r="D123" s="461" t="s">
        <v>648</v>
      </c>
      <c r="F123" s="462">
        <v>158.28720000000001</v>
      </c>
      <c r="K123" s="463"/>
    </row>
    <row r="124" spans="1:76" ht="13.5">
      <c r="A124" s="460"/>
      <c r="C124" s="461" t="s">
        <v>765</v>
      </c>
      <c r="D124" s="461" t="s">
        <v>648</v>
      </c>
      <c r="F124" s="462">
        <v>-19.199310000000001</v>
      </c>
      <c r="K124" s="463"/>
    </row>
    <row r="125" spans="1:76" ht="13.5">
      <c r="A125" s="460"/>
      <c r="C125" s="461" t="s">
        <v>766</v>
      </c>
      <c r="D125" s="461" t="s">
        <v>648</v>
      </c>
      <c r="F125" s="462">
        <v>14.52</v>
      </c>
      <c r="K125" s="463"/>
    </row>
    <row r="126" spans="1:76" ht="13.5">
      <c r="A126" s="460"/>
      <c r="C126" s="461" t="s">
        <v>767</v>
      </c>
      <c r="D126" s="461" t="s">
        <v>648</v>
      </c>
      <c r="F126" s="462">
        <v>-0.50773999999999997</v>
      </c>
      <c r="K126" s="463"/>
    </row>
    <row r="127" spans="1:76" ht="13.5">
      <c r="A127" s="460"/>
      <c r="C127" s="461" t="s">
        <v>1352</v>
      </c>
      <c r="D127" s="461" t="s">
        <v>648</v>
      </c>
      <c r="F127" s="462">
        <v>32.097999999999999</v>
      </c>
      <c r="K127" s="463"/>
    </row>
    <row r="128" spans="1:76" ht="13.5">
      <c r="A128" s="460"/>
      <c r="C128" s="461" t="s">
        <v>1353</v>
      </c>
      <c r="D128" s="461" t="s">
        <v>648</v>
      </c>
      <c r="F128" s="462">
        <v>-1.1224099999999999</v>
      </c>
      <c r="K128" s="463"/>
    </row>
    <row r="129" spans="1:76" ht="13.5">
      <c r="A129" s="460"/>
      <c r="C129" s="461" t="s">
        <v>671</v>
      </c>
      <c r="D129" s="461" t="s">
        <v>648</v>
      </c>
      <c r="F129" s="462">
        <v>0</v>
      </c>
      <c r="K129" s="463"/>
    </row>
    <row r="130" spans="1:76" ht="13.5">
      <c r="A130" s="460"/>
      <c r="C130" s="461" t="s">
        <v>1354</v>
      </c>
      <c r="D130" s="461" t="s">
        <v>648</v>
      </c>
      <c r="F130" s="462">
        <v>34.155679999999997</v>
      </c>
      <c r="K130" s="463"/>
    </row>
    <row r="131" spans="1:76" ht="13.5">
      <c r="A131" s="460"/>
      <c r="C131" s="461" t="s">
        <v>1355</v>
      </c>
      <c r="D131" s="461" t="s">
        <v>648</v>
      </c>
      <c r="F131" s="462">
        <v>-3.7111700000000001</v>
      </c>
      <c r="K131" s="463"/>
    </row>
    <row r="132" spans="1:76" ht="13.5">
      <c r="A132" s="460"/>
      <c r="C132" s="461" t="s">
        <v>678</v>
      </c>
      <c r="D132" s="461" t="s">
        <v>648</v>
      </c>
      <c r="F132" s="462">
        <v>0</v>
      </c>
      <c r="K132" s="463"/>
    </row>
    <row r="133" spans="1:76" ht="13.5">
      <c r="A133" s="460"/>
      <c r="C133" s="461" t="s">
        <v>1356</v>
      </c>
      <c r="D133" s="461" t="s">
        <v>648</v>
      </c>
      <c r="F133" s="462">
        <v>600.91044999999997</v>
      </c>
      <c r="K133" s="463"/>
    </row>
    <row r="134" spans="1:76" ht="13.5">
      <c r="A134" s="460"/>
      <c r="C134" s="461" t="s">
        <v>697</v>
      </c>
      <c r="D134" s="461" t="s">
        <v>648</v>
      </c>
      <c r="F134" s="462">
        <v>0</v>
      </c>
      <c r="K134" s="463"/>
    </row>
    <row r="135" spans="1:76" ht="13.5">
      <c r="A135" s="460"/>
      <c r="C135" s="461" t="s">
        <v>1357</v>
      </c>
      <c r="D135" s="461" t="s">
        <v>648</v>
      </c>
      <c r="F135" s="462">
        <v>-13.62257</v>
      </c>
      <c r="K135" s="463"/>
    </row>
    <row r="136" spans="1:76" ht="13.5">
      <c r="A136" s="460"/>
      <c r="C136" s="461" t="s">
        <v>1358</v>
      </c>
      <c r="D136" s="461" t="s">
        <v>648</v>
      </c>
      <c r="F136" s="462">
        <v>-8.8189499999999992</v>
      </c>
      <c r="K136" s="463"/>
    </row>
    <row r="137" spans="1:76" ht="13.5">
      <c r="A137" s="460"/>
      <c r="C137" s="461" t="s">
        <v>1359</v>
      </c>
      <c r="D137" s="461" t="s">
        <v>648</v>
      </c>
      <c r="F137" s="462">
        <v>-42.131169999999997</v>
      </c>
      <c r="K137" s="463"/>
    </row>
    <row r="138" spans="1:76" ht="13.5">
      <c r="A138" s="460"/>
      <c r="C138" s="461" t="s">
        <v>768</v>
      </c>
      <c r="D138" s="461" t="s">
        <v>648</v>
      </c>
      <c r="F138" s="462">
        <v>0</v>
      </c>
      <c r="K138" s="463"/>
    </row>
    <row r="139" spans="1:76" ht="13.5">
      <c r="A139" s="460"/>
      <c r="C139" s="461" t="s">
        <v>672</v>
      </c>
      <c r="D139" s="461" t="s">
        <v>648</v>
      </c>
      <c r="F139" s="462">
        <v>0</v>
      </c>
      <c r="K139" s="463"/>
    </row>
    <row r="140" spans="1:76" ht="13.5">
      <c r="A140" s="454" t="s">
        <v>786</v>
      </c>
      <c r="B140" s="455" t="s">
        <v>754</v>
      </c>
      <c r="C140" s="428" t="s">
        <v>770</v>
      </c>
      <c r="D140" s="424"/>
      <c r="E140" s="455" t="s">
        <v>687</v>
      </c>
      <c r="F140" s="456">
        <v>997.63913000000002</v>
      </c>
      <c r="G140" s="456">
        <v>0</v>
      </c>
      <c r="H140" s="456">
        <f>F140*AO140</f>
        <v>0</v>
      </c>
      <c r="I140" s="456">
        <f>F140*AP140</f>
        <v>0</v>
      </c>
      <c r="J140" s="456">
        <f>F140*G140</f>
        <v>0</v>
      </c>
      <c r="K140" s="457" t="s">
        <v>1410</v>
      </c>
      <c r="Z140" s="456">
        <f>IF(AQ140="5",BJ140,0)</f>
        <v>0</v>
      </c>
      <c r="AB140" s="456">
        <f>IF(AQ140="1",BH140,0)</f>
        <v>0</v>
      </c>
      <c r="AC140" s="456">
        <f>IF(AQ140="1",BI140,0)</f>
        <v>0</v>
      </c>
      <c r="AD140" s="456">
        <f>IF(AQ140="7",BH140,0)</f>
        <v>0</v>
      </c>
      <c r="AE140" s="456">
        <f>IF(AQ140="7",BI140,0)</f>
        <v>0</v>
      </c>
      <c r="AF140" s="456">
        <f>IF(AQ140="2",BH140,0)</f>
        <v>0</v>
      </c>
      <c r="AG140" s="456">
        <f>IF(AQ140="2",BI140,0)</f>
        <v>0</v>
      </c>
      <c r="AH140" s="456">
        <f>IF(AQ140="0",BJ140,0)</f>
        <v>0</v>
      </c>
      <c r="AI140" s="438" t="s">
        <v>648</v>
      </c>
      <c r="AJ140" s="456">
        <f>IF(AN140=0,J140,0)</f>
        <v>0</v>
      </c>
      <c r="AK140" s="456">
        <f>IF(AN140=12,J140,0)</f>
        <v>0</v>
      </c>
      <c r="AL140" s="456">
        <f>IF(AN140=21,J140,0)</f>
        <v>0</v>
      </c>
      <c r="AN140" s="456">
        <v>21</v>
      </c>
      <c r="AO140" s="456">
        <f>G140*0</f>
        <v>0</v>
      </c>
      <c r="AP140" s="456">
        <f>G140*(1-0)</f>
        <v>0</v>
      </c>
      <c r="AQ140" s="458" t="s">
        <v>651</v>
      </c>
      <c r="AV140" s="456">
        <f>AW140+AX140</f>
        <v>0</v>
      </c>
      <c r="AW140" s="456">
        <f>F140*AO140</f>
        <v>0</v>
      </c>
      <c r="AX140" s="456">
        <f>F140*AP140</f>
        <v>0</v>
      </c>
      <c r="AY140" s="458" t="s">
        <v>756</v>
      </c>
      <c r="AZ140" s="458" t="s">
        <v>664</v>
      </c>
      <c r="BA140" s="438" t="s">
        <v>656</v>
      </c>
      <c r="BC140" s="456">
        <f>AW140+AX140</f>
        <v>0</v>
      </c>
      <c r="BD140" s="456">
        <f>G140/(100-BE140)*100</f>
        <v>0</v>
      </c>
      <c r="BE140" s="456">
        <v>0</v>
      </c>
      <c r="BF140" s="456">
        <f>140</f>
        <v>140</v>
      </c>
      <c r="BH140" s="456">
        <f>F140*AO140</f>
        <v>0</v>
      </c>
      <c r="BI140" s="456">
        <f>F140*AP140</f>
        <v>0</v>
      </c>
      <c r="BJ140" s="456">
        <f>F140*G140</f>
        <v>0</v>
      </c>
      <c r="BK140" s="456"/>
      <c r="BL140" s="456">
        <v>17</v>
      </c>
      <c r="BW140" s="456">
        <v>21</v>
      </c>
      <c r="BX140" s="459" t="s">
        <v>770</v>
      </c>
    </row>
    <row r="141" spans="1:76" ht="13.5">
      <c r="A141" s="460"/>
      <c r="C141" s="461" t="s">
        <v>1504</v>
      </c>
      <c r="D141" s="461" t="s">
        <v>648</v>
      </c>
      <c r="F141" s="462">
        <v>1960.76423</v>
      </c>
      <c r="K141" s="463"/>
    </row>
    <row r="142" spans="1:76" ht="13.5">
      <c r="A142" s="460"/>
      <c r="C142" s="461" t="s">
        <v>1360</v>
      </c>
      <c r="D142" s="461" t="s">
        <v>648</v>
      </c>
      <c r="F142" s="462">
        <v>-212.26709</v>
      </c>
      <c r="K142" s="463"/>
    </row>
    <row r="143" spans="1:76" ht="13.5">
      <c r="A143" s="460"/>
      <c r="C143" s="461" t="s">
        <v>1361</v>
      </c>
      <c r="D143" s="461" t="s">
        <v>648</v>
      </c>
      <c r="F143" s="462">
        <v>-750.85801000000004</v>
      </c>
      <c r="K143" s="463"/>
    </row>
    <row r="144" spans="1:76" ht="13.5">
      <c r="A144" s="454" t="s">
        <v>791</v>
      </c>
      <c r="B144" s="455" t="s">
        <v>772</v>
      </c>
      <c r="C144" s="428" t="s">
        <v>773</v>
      </c>
      <c r="D144" s="424"/>
      <c r="E144" s="455" t="s">
        <v>687</v>
      </c>
      <c r="F144" s="456">
        <v>964.88234999999997</v>
      </c>
      <c r="G144" s="456">
        <v>0</v>
      </c>
      <c r="H144" s="456">
        <f>F144*AO144</f>
        <v>0</v>
      </c>
      <c r="I144" s="456">
        <f>F144*AP144</f>
        <v>0</v>
      </c>
      <c r="J144" s="456">
        <f>F144*G144</f>
        <v>0</v>
      </c>
      <c r="K144" s="457" t="s">
        <v>1410</v>
      </c>
      <c r="Z144" s="456">
        <f>IF(AQ144="5",BJ144,0)</f>
        <v>0</v>
      </c>
      <c r="AB144" s="456">
        <f>IF(AQ144="1",BH144,0)</f>
        <v>0</v>
      </c>
      <c r="AC144" s="456">
        <f>IF(AQ144="1",BI144,0)</f>
        <v>0</v>
      </c>
      <c r="AD144" s="456">
        <f>IF(AQ144="7",BH144,0)</f>
        <v>0</v>
      </c>
      <c r="AE144" s="456">
        <f>IF(AQ144="7",BI144,0)</f>
        <v>0</v>
      </c>
      <c r="AF144" s="456">
        <f>IF(AQ144="2",BH144,0)</f>
        <v>0</v>
      </c>
      <c r="AG144" s="456">
        <f>IF(AQ144="2",BI144,0)</f>
        <v>0</v>
      </c>
      <c r="AH144" s="456">
        <f>IF(AQ144="0",BJ144,0)</f>
        <v>0</v>
      </c>
      <c r="AI144" s="438" t="s">
        <v>648</v>
      </c>
      <c r="AJ144" s="456">
        <f>IF(AN144=0,J144,0)</f>
        <v>0</v>
      </c>
      <c r="AK144" s="456">
        <f>IF(AN144=12,J144,0)</f>
        <v>0</v>
      </c>
      <c r="AL144" s="456">
        <f>IF(AN144=21,J144,0)</f>
        <v>0</v>
      </c>
      <c r="AN144" s="456">
        <v>21</v>
      </c>
      <c r="AO144" s="456">
        <f>G144*0</f>
        <v>0</v>
      </c>
      <c r="AP144" s="456">
        <f>G144*(1-0)</f>
        <v>0</v>
      </c>
      <c r="AQ144" s="458" t="s">
        <v>651</v>
      </c>
      <c r="AV144" s="456">
        <f>AW144+AX144</f>
        <v>0</v>
      </c>
      <c r="AW144" s="456">
        <f>F144*AO144</f>
        <v>0</v>
      </c>
      <c r="AX144" s="456">
        <f>F144*AP144</f>
        <v>0</v>
      </c>
      <c r="AY144" s="458" t="s">
        <v>756</v>
      </c>
      <c r="AZ144" s="458" t="s">
        <v>664</v>
      </c>
      <c r="BA144" s="438" t="s">
        <v>656</v>
      </c>
      <c r="BC144" s="456">
        <f>AW144+AX144</f>
        <v>0</v>
      </c>
      <c r="BD144" s="456">
        <f>G144/(100-BE144)*100</f>
        <v>0</v>
      </c>
      <c r="BE144" s="456">
        <v>0</v>
      </c>
      <c r="BF144" s="456">
        <f>144</f>
        <v>144</v>
      </c>
      <c r="BH144" s="456">
        <f>F144*AO144</f>
        <v>0</v>
      </c>
      <c r="BI144" s="456">
        <f>F144*AP144</f>
        <v>0</v>
      </c>
      <c r="BJ144" s="456">
        <f>F144*G144</f>
        <v>0</v>
      </c>
      <c r="BK144" s="456"/>
      <c r="BL144" s="456">
        <v>17</v>
      </c>
      <c r="BW144" s="456">
        <v>21</v>
      </c>
      <c r="BX144" s="459" t="s">
        <v>773</v>
      </c>
    </row>
    <row r="145" spans="1:76" ht="13.5">
      <c r="A145" s="460"/>
      <c r="C145" s="461" t="s">
        <v>1505</v>
      </c>
      <c r="D145" s="461" t="s">
        <v>648</v>
      </c>
      <c r="F145" s="462">
        <v>964.88234999999997</v>
      </c>
      <c r="K145" s="463"/>
    </row>
    <row r="146" spans="1:76" ht="13.5">
      <c r="A146" s="454" t="s">
        <v>795</v>
      </c>
      <c r="B146" s="455" t="s">
        <v>772</v>
      </c>
      <c r="C146" s="428" t="s">
        <v>775</v>
      </c>
      <c r="D146" s="424"/>
      <c r="E146" s="455" t="s">
        <v>687</v>
      </c>
      <c r="F146" s="456">
        <v>964.88234999999997</v>
      </c>
      <c r="G146" s="456">
        <v>0</v>
      </c>
      <c r="H146" s="456">
        <f>F146*AO146</f>
        <v>0</v>
      </c>
      <c r="I146" s="456">
        <f>F146*AP146</f>
        <v>0</v>
      </c>
      <c r="J146" s="456">
        <f>F146*G146</f>
        <v>0</v>
      </c>
      <c r="K146" s="457" t="s">
        <v>1410</v>
      </c>
      <c r="Z146" s="456">
        <f>IF(AQ146="5",BJ146,0)</f>
        <v>0</v>
      </c>
      <c r="AB146" s="456">
        <f>IF(AQ146="1",BH146,0)</f>
        <v>0</v>
      </c>
      <c r="AC146" s="456">
        <f>IF(AQ146="1",BI146,0)</f>
        <v>0</v>
      </c>
      <c r="AD146" s="456">
        <f>IF(AQ146="7",BH146,0)</f>
        <v>0</v>
      </c>
      <c r="AE146" s="456">
        <f>IF(AQ146="7",BI146,0)</f>
        <v>0</v>
      </c>
      <c r="AF146" s="456">
        <f>IF(AQ146="2",BH146,0)</f>
        <v>0</v>
      </c>
      <c r="AG146" s="456">
        <f>IF(AQ146="2",BI146,0)</f>
        <v>0</v>
      </c>
      <c r="AH146" s="456">
        <f>IF(AQ146="0",BJ146,0)</f>
        <v>0</v>
      </c>
      <c r="AI146" s="438" t="s">
        <v>648</v>
      </c>
      <c r="AJ146" s="456">
        <f>IF(AN146=0,J146,0)</f>
        <v>0</v>
      </c>
      <c r="AK146" s="456">
        <f>IF(AN146=12,J146,0)</f>
        <v>0</v>
      </c>
      <c r="AL146" s="456">
        <f>IF(AN146=21,J146,0)</f>
        <v>0</v>
      </c>
      <c r="AN146" s="456">
        <v>21</v>
      </c>
      <c r="AO146" s="456">
        <f>G146*0</f>
        <v>0</v>
      </c>
      <c r="AP146" s="456">
        <f>G146*(1-0)</f>
        <v>0</v>
      </c>
      <c r="AQ146" s="458" t="s">
        <v>651</v>
      </c>
      <c r="AV146" s="456">
        <f>AW146+AX146</f>
        <v>0</v>
      </c>
      <c r="AW146" s="456">
        <f>F146*AO146</f>
        <v>0</v>
      </c>
      <c r="AX146" s="456">
        <f>F146*AP146</f>
        <v>0</v>
      </c>
      <c r="AY146" s="458" t="s">
        <v>756</v>
      </c>
      <c r="AZ146" s="458" t="s">
        <v>664</v>
      </c>
      <c r="BA146" s="438" t="s">
        <v>656</v>
      </c>
      <c r="BC146" s="456">
        <f>AW146+AX146</f>
        <v>0</v>
      </c>
      <c r="BD146" s="456">
        <f>G146/(100-BE146)*100</f>
        <v>0</v>
      </c>
      <c r="BE146" s="456">
        <v>0</v>
      </c>
      <c r="BF146" s="456">
        <f>146</f>
        <v>146</v>
      </c>
      <c r="BH146" s="456">
        <f>F146*AO146</f>
        <v>0</v>
      </c>
      <c r="BI146" s="456">
        <f>F146*AP146</f>
        <v>0</v>
      </c>
      <c r="BJ146" s="456">
        <f>F146*G146</f>
        <v>0</v>
      </c>
      <c r="BK146" s="456"/>
      <c r="BL146" s="456">
        <v>17</v>
      </c>
      <c r="BW146" s="456">
        <v>21</v>
      </c>
      <c r="BX146" s="459" t="s">
        <v>775</v>
      </c>
    </row>
    <row r="147" spans="1:76" ht="13.5">
      <c r="A147" s="460"/>
      <c r="C147" s="461" t="s">
        <v>1502</v>
      </c>
      <c r="D147" s="461" t="s">
        <v>648</v>
      </c>
      <c r="F147" s="462">
        <v>964.88234999999997</v>
      </c>
      <c r="K147" s="463"/>
    </row>
    <row r="148" spans="1:76" ht="13.5">
      <c r="A148" s="454" t="s">
        <v>801</v>
      </c>
      <c r="B148" s="455" t="s">
        <v>777</v>
      </c>
      <c r="C148" s="428" t="s">
        <v>778</v>
      </c>
      <c r="D148" s="424"/>
      <c r="E148" s="455" t="s">
        <v>687</v>
      </c>
      <c r="F148" s="456">
        <v>964.88234999999997</v>
      </c>
      <c r="G148" s="456">
        <v>0</v>
      </c>
      <c r="H148" s="456">
        <f>F148*AO148</f>
        <v>0</v>
      </c>
      <c r="I148" s="456">
        <f>F148*AP148</f>
        <v>0</v>
      </c>
      <c r="J148" s="456">
        <f>F148*G148</f>
        <v>0</v>
      </c>
      <c r="K148" s="457" t="s">
        <v>1410</v>
      </c>
      <c r="Z148" s="456">
        <f>IF(AQ148="5",BJ148,0)</f>
        <v>0</v>
      </c>
      <c r="AB148" s="456">
        <f>IF(AQ148="1",BH148,0)</f>
        <v>0</v>
      </c>
      <c r="AC148" s="456">
        <f>IF(AQ148="1",BI148,0)</f>
        <v>0</v>
      </c>
      <c r="AD148" s="456">
        <f>IF(AQ148="7",BH148,0)</f>
        <v>0</v>
      </c>
      <c r="AE148" s="456">
        <f>IF(AQ148="7",BI148,0)</f>
        <v>0</v>
      </c>
      <c r="AF148" s="456">
        <f>IF(AQ148="2",BH148,0)</f>
        <v>0</v>
      </c>
      <c r="AG148" s="456">
        <f>IF(AQ148="2",BI148,0)</f>
        <v>0</v>
      </c>
      <c r="AH148" s="456">
        <f>IF(AQ148="0",BJ148,0)</f>
        <v>0</v>
      </c>
      <c r="AI148" s="438" t="s">
        <v>648</v>
      </c>
      <c r="AJ148" s="456">
        <f>IF(AN148=0,J148,0)</f>
        <v>0</v>
      </c>
      <c r="AK148" s="456">
        <f>IF(AN148=12,J148,0)</f>
        <v>0</v>
      </c>
      <c r="AL148" s="456">
        <f>IF(AN148=21,J148,0)</f>
        <v>0</v>
      </c>
      <c r="AN148" s="456">
        <v>21</v>
      </c>
      <c r="AO148" s="456">
        <f>G148*0</f>
        <v>0</v>
      </c>
      <c r="AP148" s="456">
        <f>G148*(1-0)</f>
        <v>0</v>
      </c>
      <c r="AQ148" s="458" t="s">
        <v>651</v>
      </c>
      <c r="AV148" s="456">
        <f>AW148+AX148</f>
        <v>0</v>
      </c>
      <c r="AW148" s="456">
        <f>F148*AO148</f>
        <v>0</v>
      </c>
      <c r="AX148" s="456">
        <f>F148*AP148</f>
        <v>0</v>
      </c>
      <c r="AY148" s="458" t="s">
        <v>756</v>
      </c>
      <c r="AZ148" s="458" t="s">
        <v>664</v>
      </c>
      <c r="BA148" s="438" t="s">
        <v>656</v>
      </c>
      <c r="BC148" s="456">
        <f>AW148+AX148</f>
        <v>0</v>
      </c>
      <c r="BD148" s="456">
        <f>G148/(100-BE148)*100</f>
        <v>0</v>
      </c>
      <c r="BE148" s="456">
        <v>0</v>
      </c>
      <c r="BF148" s="456">
        <f>148</f>
        <v>148</v>
      </c>
      <c r="BH148" s="456">
        <f>F148*AO148</f>
        <v>0</v>
      </c>
      <c r="BI148" s="456">
        <f>F148*AP148</f>
        <v>0</v>
      </c>
      <c r="BJ148" s="456">
        <f>F148*G148</f>
        <v>0</v>
      </c>
      <c r="BK148" s="456"/>
      <c r="BL148" s="456">
        <v>17</v>
      </c>
      <c r="BW148" s="456">
        <v>21</v>
      </c>
      <c r="BX148" s="459" t="s">
        <v>778</v>
      </c>
    </row>
    <row r="149" spans="1:76" ht="13.5">
      <c r="A149" s="460"/>
      <c r="C149" s="461" t="s">
        <v>1506</v>
      </c>
      <c r="D149" s="461" t="s">
        <v>648</v>
      </c>
      <c r="F149" s="462">
        <v>964.88234999999997</v>
      </c>
      <c r="K149" s="463"/>
    </row>
    <row r="150" spans="1:76" ht="13.5">
      <c r="A150" s="448" t="s">
        <v>648</v>
      </c>
      <c r="B150" s="449" t="s">
        <v>723</v>
      </c>
      <c r="C150" s="450" t="s">
        <v>1362</v>
      </c>
      <c r="D150" s="451"/>
      <c r="E150" s="452" t="s">
        <v>607</v>
      </c>
      <c r="F150" s="452" t="s">
        <v>607</v>
      </c>
      <c r="G150" s="452" t="s">
        <v>607</v>
      </c>
      <c r="H150" s="416">
        <f>SUM(H151:H154)</f>
        <v>0</v>
      </c>
      <c r="I150" s="416">
        <f>SUM(I151:I154)</f>
        <v>0</v>
      </c>
      <c r="J150" s="416">
        <f>SUM(J151:J154)</f>
        <v>0</v>
      </c>
      <c r="K150" s="453" t="s">
        <v>648</v>
      </c>
      <c r="AI150" s="438" t="s">
        <v>648</v>
      </c>
      <c r="AS150" s="416">
        <f>SUM(AJ151:AJ154)</f>
        <v>0</v>
      </c>
      <c r="AT150" s="416">
        <f>SUM(AK151:AK154)</f>
        <v>0</v>
      </c>
      <c r="AU150" s="416">
        <f>SUM(AL151:AL154)</f>
        <v>0</v>
      </c>
    </row>
    <row r="151" spans="1:76" ht="13.5">
      <c r="A151" s="454" t="s">
        <v>811</v>
      </c>
      <c r="B151" s="455" t="s">
        <v>1507</v>
      </c>
      <c r="C151" s="428" t="s">
        <v>1508</v>
      </c>
      <c r="D151" s="424"/>
      <c r="E151" s="455" t="s">
        <v>14</v>
      </c>
      <c r="F151" s="456">
        <v>2</v>
      </c>
      <c r="G151" s="456">
        <v>0</v>
      </c>
      <c r="H151" s="456">
        <f>F151*AO151</f>
        <v>0</v>
      </c>
      <c r="I151" s="456">
        <f>F151*AP151</f>
        <v>0</v>
      </c>
      <c r="J151" s="456">
        <f>F151*G151</f>
        <v>0</v>
      </c>
      <c r="K151" s="457" t="s">
        <v>1410</v>
      </c>
      <c r="Z151" s="456">
        <f>IF(AQ151="5",BJ151,0)</f>
        <v>0</v>
      </c>
      <c r="AB151" s="456">
        <f>IF(AQ151="1",BH151,0)</f>
        <v>0</v>
      </c>
      <c r="AC151" s="456">
        <f>IF(AQ151="1",BI151,0)</f>
        <v>0</v>
      </c>
      <c r="AD151" s="456">
        <f>IF(AQ151="7",BH151,0)</f>
        <v>0</v>
      </c>
      <c r="AE151" s="456">
        <f>IF(AQ151="7",BI151,0)</f>
        <v>0</v>
      </c>
      <c r="AF151" s="456">
        <f>IF(AQ151="2",BH151,0)</f>
        <v>0</v>
      </c>
      <c r="AG151" s="456">
        <f>IF(AQ151="2",BI151,0)</f>
        <v>0</v>
      </c>
      <c r="AH151" s="456">
        <f>IF(AQ151="0",BJ151,0)</f>
        <v>0</v>
      </c>
      <c r="AI151" s="438" t="s">
        <v>648</v>
      </c>
      <c r="AJ151" s="456">
        <f>IF(AN151=0,J151,0)</f>
        <v>0</v>
      </c>
      <c r="AK151" s="456">
        <f>IF(AN151=12,J151,0)</f>
        <v>0</v>
      </c>
      <c r="AL151" s="456">
        <f>IF(AN151=21,J151,0)</f>
        <v>0</v>
      </c>
      <c r="AN151" s="456">
        <v>21</v>
      </c>
      <c r="AO151" s="456">
        <f>G151*0.016970732</f>
        <v>0</v>
      </c>
      <c r="AP151" s="456">
        <f>G151*(1-0.016970732)</f>
        <v>0</v>
      </c>
      <c r="AQ151" s="458" t="s">
        <v>651</v>
      </c>
      <c r="AV151" s="456">
        <f>AW151+AX151</f>
        <v>0</v>
      </c>
      <c r="AW151" s="456">
        <f>F151*AO151</f>
        <v>0</v>
      </c>
      <c r="AX151" s="456">
        <f>F151*AP151</f>
        <v>0</v>
      </c>
      <c r="AY151" s="458" t="s">
        <v>1363</v>
      </c>
      <c r="AZ151" s="458" t="s">
        <v>664</v>
      </c>
      <c r="BA151" s="438" t="s">
        <v>656</v>
      </c>
      <c r="BC151" s="456">
        <f>AW151+AX151</f>
        <v>0</v>
      </c>
      <c r="BD151" s="456">
        <f>G151/(100-BE151)*100</f>
        <v>0</v>
      </c>
      <c r="BE151" s="456">
        <v>0</v>
      </c>
      <c r="BF151" s="456">
        <f>151</f>
        <v>151</v>
      </c>
      <c r="BH151" s="456">
        <f>F151*AO151</f>
        <v>0</v>
      </c>
      <c r="BI151" s="456">
        <f>F151*AP151</f>
        <v>0</v>
      </c>
      <c r="BJ151" s="456">
        <f>F151*G151</f>
        <v>0</v>
      </c>
      <c r="BK151" s="456"/>
      <c r="BL151" s="456">
        <v>18</v>
      </c>
      <c r="BW151" s="456">
        <v>21</v>
      </c>
      <c r="BX151" s="459" t="s">
        <v>1508</v>
      </c>
    </row>
    <row r="152" spans="1:76" ht="13.5">
      <c r="A152" s="460"/>
      <c r="C152" s="461" t="s">
        <v>1509</v>
      </c>
      <c r="D152" s="461" t="s">
        <v>648</v>
      </c>
      <c r="F152" s="462">
        <v>1</v>
      </c>
      <c r="K152" s="463"/>
    </row>
    <row r="153" spans="1:76" ht="13.5">
      <c r="A153" s="460"/>
      <c r="C153" s="461" t="s">
        <v>1510</v>
      </c>
      <c r="D153" s="461" t="s">
        <v>648</v>
      </c>
      <c r="F153" s="462">
        <v>1</v>
      </c>
      <c r="K153" s="463"/>
    </row>
    <row r="154" spans="1:76" ht="13.5">
      <c r="A154" s="454" t="s">
        <v>817</v>
      </c>
      <c r="B154" s="455" t="s">
        <v>1425</v>
      </c>
      <c r="C154" s="428" t="s">
        <v>1426</v>
      </c>
      <c r="D154" s="424"/>
      <c r="E154" s="455" t="s">
        <v>14</v>
      </c>
      <c r="F154" s="456">
        <v>41</v>
      </c>
      <c r="G154" s="456">
        <v>0</v>
      </c>
      <c r="H154" s="456">
        <f>F154*AO154</f>
        <v>0</v>
      </c>
      <c r="I154" s="456">
        <f>F154*AP154</f>
        <v>0</v>
      </c>
      <c r="J154" s="456">
        <f>F154*G154</f>
        <v>0</v>
      </c>
      <c r="K154" s="457" t="s">
        <v>648</v>
      </c>
      <c r="Z154" s="456">
        <f>IF(AQ154="5",BJ154,0)</f>
        <v>0</v>
      </c>
      <c r="AB154" s="456">
        <f>IF(AQ154="1",BH154,0)</f>
        <v>0</v>
      </c>
      <c r="AC154" s="456">
        <f>IF(AQ154="1",BI154,0)</f>
        <v>0</v>
      </c>
      <c r="AD154" s="456">
        <f>IF(AQ154="7",BH154,0)</f>
        <v>0</v>
      </c>
      <c r="AE154" s="456">
        <f>IF(AQ154="7",BI154,0)</f>
        <v>0</v>
      </c>
      <c r="AF154" s="456">
        <f>IF(AQ154="2",BH154,0)</f>
        <v>0</v>
      </c>
      <c r="AG154" s="456">
        <f>IF(AQ154="2",BI154,0)</f>
        <v>0</v>
      </c>
      <c r="AH154" s="456">
        <f>IF(AQ154="0",BJ154,0)</f>
        <v>0</v>
      </c>
      <c r="AI154" s="438" t="s">
        <v>648</v>
      </c>
      <c r="AJ154" s="456">
        <f>IF(AN154=0,J154,0)</f>
        <v>0</v>
      </c>
      <c r="AK154" s="456">
        <f>IF(AN154=12,J154,0)</f>
        <v>0</v>
      </c>
      <c r="AL154" s="456">
        <f>IF(AN154=21,J154,0)</f>
        <v>0</v>
      </c>
      <c r="AN154" s="456">
        <v>21</v>
      </c>
      <c r="AO154" s="456">
        <f>G154*0.6</f>
        <v>0</v>
      </c>
      <c r="AP154" s="456">
        <f>G154*(1-0.6)</f>
        <v>0</v>
      </c>
      <c r="AQ154" s="458" t="s">
        <v>651</v>
      </c>
      <c r="AV154" s="456">
        <f>AW154+AX154</f>
        <v>0</v>
      </c>
      <c r="AW154" s="456">
        <f>F154*AO154</f>
        <v>0</v>
      </c>
      <c r="AX154" s="456">
        <f>F154*AP154</f>
        <v>0</v>
      </c>
      <c r="AY154" s="458" t="s">
        <v>1363</v>
      </c>
      <c r="AZ154" s="458" t="s">
        <v>664</v>
      </c>
      <c r="BA154" s="438" t="s">
        <v>656</v>
      </c>
      <c r="BC154" s="456">
        <f>AW154+AX154</f>
        <v>0</v>
      </c>
      <c r="BD154" s="456">
        <f>G154/(100-BE154)*100</f>
        <v>0</v>
      </c>
      <c r="BE154" s="456">
        <v>0</v>
      </c>
      <c r="BF154" s="456">
        <f>154</f>
        <v>154</v>
      </c>
      <c r="BH154" s="456">
        <f>F154*AO154</f>
        <v>0</v>
      </c>
      <c r="BI154" s="456">
        <f>F154*AP154</f>
        <v>0</v>
      </c>
      <c r="BJ154" s="456">
        <f>F154*G154</f>
        <v>0</v>
      </c>
      <c r="BK154" s="456"/>
      <c r="BL154" s="456">
        <v>18</v>
      </c>
      <c r="BW154" s="456">
        <v>21</v>
      </c>
      <c r="BX154" s="459" t="s">
        <v>1426</v>
      </c>
    </row>
    <row r="155" spans="1:76" ht="13.5">
      <c r="A155" s="460"/>
      <c r="C155" s="461" t="s">
        <v>1511</v>
      </c>
      <c r="D155" s="461" t="s">
        <v>648</v>
      </c>
      <c r="F155" s="462">
        <v>41</v>
      </c>
      <c r="K155" s="463"/>
    </row>
    <row r="156" spans="1:76" ht="13.5">
      <c r="A156" s="460"/>
      <c r="C156" s="461" t="s">
        <v>1428</v>
      </c>
      <c r="D156" s="461" t="s">
        <v>648</v>
      </c>
      <c r="F156" s="462">
        <v>0</v>
      </c>
      <c r="K156" s="463"/>
    </row>
    <row r="157" spans="1:76" ht="13.5">
      <c r="A157" s="460"/>
      <c r="C157" s="461" t="s">
        <v>1429</v>
      </c>
      <c r="D157" s="461" t="s">
        <v>648</v>
      </c>
      <c r="F157" s="462">
        <v>0</v>
      </c>
      <c r="K157" s="463"/>
    </row>
    <row r="158" spans="1:76" ht="13.5">
      <c r="A158" s="460"/>
      <c r="C158" s="461" t="s">
        <v>1430</v>
      </c>
      <c r="D158" s="461" t="s">
        <v>648</v>
      </c>
      <c r="F158" s="462">
        <v>0</v>
      </c>
      <c r="K158" s="463"/>
    </row>
    <row r="159" spans="1:76" ht="13.5">
      <c r="A159" s="460"/>
      <c r="C159" s="461" t="s">
        <v>1431</v>
      </c>
      <c r="D159" s="461" t="s">
        <v>648</v>
      </c>
      <c r="F159" s="462">
        <v>0</v>
      </c>
      <c r="K159" s="463"/>
    </row>
    <row r="160" spans="1:76" ht="13.5">
      <c r="A160" s="460"/>
      <c r="C160" s="461" t="s">
        <v>1432</v>
      </c>
      <c r="D160" s="461" t="s">
        <v>648</v>
      </c>
      <c r="F160" s="462">
        <v>0</v>
      </c>
      <c r="K160" s="463"/>
    </row>
    <row r="161" spans="1:76" ht="13.5">
      <c r="A161" s="460"/>
      <c r="C161" s="461" t="s">
        <v>1433</v>
      </c>
      <c r="D161" s="461" t="s">
        <v>648</v>
      </c>
      <c r="F161" s="462">
        <v>0</v>
      </c>
      <c r="K161" s="463"/>
    </row>
    <row r="162" spans="1:76" ht="13.5">
      <c r="A162" s="460"/>
      <c r="C162" s="461" t="s">
        <v>1434</v>
      </c>
      <c r="D162" s="461" t="s">
        <v>648</v>
      </c>
      <c r="F162" s="462">
        <v>0</v>
      </c>
      <c r="K162" s="463"/>
    </row>
    <row r="163" spans="1:76" ht="13.5">
      <c r="A163" s="460"/>
      <c r="C163" s="461" t="s">
        <v>1435</v>
      </c>
      <c r="D163" s="461" t="s">
        <v>648</v>
      </c>
      <c r="F163" s="462">
        <v>0</v>
      </c>
      <c r="K163" s="463"/>
    </row>
    <row r="164" spans="1:76" ht="13.5">
      <c r="A164" s="460"/>
      <c r="C164" s="461" t="s">
        <v>1436</v>
      </c>
      <c r="D164" s="461" t="s">
        <v>648</v>
      </c>
      <c r="F164" s="462">
        <v>0</v>
      </c>
      <c r="K164" s="463"/>
    </row>
    <row r="165" spans="1:76" ht="13.5">
      <c r="A165" s="460"/>
      <c r="C165" s="461" t="s">
        <v>1437</v>
      </c>
      <c r="D165" s="461" t="s">
        <v>648</v>
      </c>
      <c r="F165" s="462">
        <v>0</v>
      </c>
      <c r="K165" s="463"/>
    </row>
    <row r="166" spans="1:76" ht="13.5">
      <c r="A166" s="460"/>
      <c r="C166" s="461" t="s">
        <v>1438</v>
      </c>
      <c r="D166" s="461" t="s">
        <v>648</v>
      </c>
      <c r="F166" s="462">
        <v>0</v>
      </c>
      <c r="K166" s="463"/>
    </row>
    <row r="167" spans="1:76" ht="13.5">
      <c r="A167" s="460"/>
      <c r="C167" s="461" t="s">
        <v>1439</v>
      </c>
      <c r="D167" s="461" t="s">
        <v>648</v>
      </c>
      <c r="F167" s="462">
        <v>0</v>
      </c>
      <c r="K167" s="463"/>
    </row>
    <row r="168" spans="1:76" ht="13.5">
      <c r="A168" s="460"/>
      <c r="C168" s="461" t="s">
        <v>1440</v>
      </c>
      <c r="D168" s="461" t="s">
        <v>648</v>
      </c>
      <c r="F168" s="462">
        <v>0</v>
      </c>
      <c r="K168" s="463"/>
    </row>
    <row r="169" spans="1:76" ht="13.5">
      <c r="A169" s="460"/>
      <c r="C169" s="461" t="s">
        <v>1441</v>
      </c>
      <c r="D169" s="461" t="s">
        <v>648</v>
      </c>
      <c r="F169" s="462">
        <v>0</v>
      </c>
      <c r="K169" s="463"/>
    </row>
    <row r="170" spans="1:76" ht="13.5">
      <c r="A170" s="460"/>
      <c r="C170" s="461" t="s">
        <v>1442</v>
      </c>
      <c r="D170" s="461" t="s">
        <v>648</v>
      </c>
      <c r="F170" s="462">
        <v>0</v>
      </c>
      <c r="K170" s="463"/>
    </row>
    <row r="171" spans="1:76" ht="13.5">
      <c r="A171" s="460"/>
      <c r="C171" s="461" t="s">
        <v>1443</v>
      </c>
      <c r="D171" s="461" t="s">
        <v>648</v>
      </c>
      <c r="F171" s="462">
        <v>0</v>
      </c>
      <c r="K171" s="463"/>
    </row>
    <row r="172" spans="1:76" ht="13.5">
      <c r="A172" s="460"/>
      <c r="C172" s="461" t="s">
        <v>1444</v>
      </c>
      <c r="D172" s="461" t="s">
        <v>648</v>
      </c>
      <c r="F172" s="462">
        <v>0</v>
      </c>
      <c r="K172" s="463"/>
    </row>
    <row r="173" spans="1:76" ht="13.5">
      <c r="A173" s="448" t="s">
        <v>648</v>
      </c>
      <c r="B173" s="449" t="s">
        <v>735</v>
      </c>
      <c r="C173" s="450" t="s">
        <v>779</v>
      </c>
      <c r="D173" s="451"/>
      <c r="E173" s="452" t="s">
        <v>607</v>
      </c>
      <c r="F173" s="452" t="s">
        <v>607</v>
      </c>
      <c r="G173" s="452" t="s">
        <v>607</v>
      </c>
      <c r="H173" s="416">
        <f>SUM(H174:H174)</f>
        <v>0</v>
      </c>
      <c r="I173" s="416">
        <f>SUM(I174:I174)</f>
        <v>0</v>
      </c>
      <c r="J173" s="416">
        <f>SUM(J174:J174)</f>
        <v>0</v>
      </c>
      <c r="K173" s="453" t="s">
        <v>648</v>
      </c>
      <c r="AI173" s="438" t="s">
        <v>648</v>
      </c>
      <c r="AS173" s="416">
        <f>SUM(AJ174:AJ174)</f>
        <v>0</v>
      </c>
      <c r="AT173" s="416">
        <f>SUM(AK174:AK174)</f>
        <v>0</v>
      </c>
      <c r="AU173" s="416">
        <f>SUM(AL174:AL174)</f>
        <v>0</v>
      </c>
    </row>
    <row r="174" spans="1:76" ht="13.5">
      <c r="A174" s="454" t="s">
        <v>822</v>
      </c>
      <c r="B174" s="455" t="s">
        <v>781</v>
      </c>
      <c r="C174" s="428" t="s">
        <v>782</v>
      </c>
      <c r="D174" s="424"/>
      <c r="E174" s="455" t="s">
        <v>687</v>
      </c>
      <c r="F174" s="456">
        <v>88.387200000000007</v>
      </c>
      <c r="G174" s="456">
        <v>0</v>
      </c>
      <c r="H174" s="456">
        <f>F174*AO174</f>
        <v>0</v>
      </c>
      <c r="I174" s="456">
        <f>F174*AP174</f>
        <v>0</v>
      </c>
      <c r="J174" s="456">
        <f>F174*G174</f>
        <v>0</v>
      </c>
      <c r="K174" s="457" t="s">
        <v>1410</v>
      </c>
      <c r="Z174" s="456">
        <f>IF(AQ174="5",BJ174,0)</f>
        <v>0</v>
      </c>
      <c r="AB174" s="456">
        <f>IF(AQ174="1",BH174,0)</f>
        <v>0</v>
      </c>
      <c r="AC174" s="456">
        <f>IF(AQ174="1",BI174,0)</f>
        <v>0</v>
      </c>
      <c r="AD174" s="456">
        <f>IF(AQ174="7",BH174,0)</f>
        <v>0</v>
      </c>
      <c r="AE174" s="456">
        <f>IF(AQ174="7",BI174,0)</f>
        <v>0</v>
      </c>
      <c r="AF174" s="456">
        <f>IF(AQ174="2",BH174,0)</f>
        <v>0</v>
      </c>
      <c r="AG174" s="456">
        <f>IF(AQ174="2",BI174,0)</f>
        <v>0</v>
      </c>
      <c r="AH174" s="456">
        <f>IF(AQ174="0",BJ174,0)</f>
        <v>0</v>
      </c>
      <c r="AI174" s="438" t="s">
        <v>648</v>
      </c>
      <c r="AJ174" s="456">
        <f>IF(AN174=0,J174,0)</f>
        <v>0</v>
      </c>
      <c r="AK174" s="456">
        <f>IF(AN174=12,J174,0)</f>
        <v>0</v>
      </c>
      <c r="AL174" s="456">
        <f>IF(AN174=21,J174,0)</f>
        <v>0</v>
      </c>
      <c r="AN174" s="456">
        <v>21</v>
      </c>
      <c r="AO174" s="456">
        <f>G174*0.563752926</f>
        <v>0</v>
      </c>
      <c r="AP174" s="456">
        <f>G174*(1-0.563752926)</f>
        <v>0</v>
      </c>
      <c r="AQ174" s="458" t="s">
        <v>651</v>
      </c>
      <c r="AV174" s="456">
        <f>AW174+AX174</f>
        <v>0</v>
      </c>
      <c r="AW174" s="456">
        <f>F174*AO174</f>
        <v>0</v>
      </c>
      <c r="AX174" s="456">
        <f>F174*AP174</f>
        <v>0</v>
      </c>
      <c r="AY174" s="458" t="s">
        <v>783</v>
      </c>
      <c r="AZ174" s="458" t="s">
        <v>784</v>
      </c>
      <c r="BA174" s="438" t="s">
        <v>656</v>
      </c>
      <c r="BC174" s="456">
        <f>AW174+AX174</f>
        <v>0</v>
      </c>
      <c r="BD174" s="456">
        <f>G174/(100-BE174)*100</f>
        <v>0</v>
      </c>
      <c r="BE174" s="456">
        <v>0</v>
      </c>
      <c r="BF174" s="456">
        <f>174</f>
        <v>174</v>
      </c>
      <c r="BH174" s="456">
        <f>F174*AO174</f>
        <v>0</v>
      </c>
      <c r="BI174" s="456">
        <f>F174*AP174</f>
        <v>0</v>
      </c>
      <c r="BJ174" s="456">
        <f>F174*G174</f>
        <v>0</v>
      </c>
      <c r="BK174" s="456"/>
      <c r="BL174" s="456">
        <v>21</v>
      </c>
      <c r="BW174" s="456">
        <v>21</v>
      </c>
      <c r="BX174" s="459" t="s">
        <v>782</v>
      </c>
    </row>
    <row r="175" spans="1:76" ht="13.5">
      <c r="A175" s="460"/>
      <c r="C175" s="461" t="s">
        <v>1364</v>
      </c>
      <c r="D175" s="461" t="s">
        <v>648</v>
      </c>
      <c r="F175" s="462">
        <v>88.387200000000007</v>
      </c>
      <c r="K175" s="463"/>
    </row>
    <row r="176" spans="1:76" ht="13.5">
      <c r="A176" s="448" t="s">
        <v>648</v>
      </c>
      <c r="B176" s="449" t="s">
        <v>753</v>
      </c>
      <c r="C176" s="450" t="s">
        <v>785</v>
      </c>
      <c r="D176" s="451"/>
      <c r="E176" s="452" t="s">
        <v>607</v>
      </c>
      <c r="F176" s="452" t="s">
        <v>607</v>
      </c>
      <c r="G176" s="452" t="s">
        <v>607</v>
      </c>
      <c r="H176" s="416">
        <f>SUM(H177:H181)</f>
        <v>0</v>
      </c>
      <c r="I176" s="416">
        <f>SUM(I177:I181)</f>
        <v>0</v>
      </c>
      <c r="J176" s="416">
        <f>SUM(J177:J181)</f>
        <v>0</v>
      </c>
      <c r="K176" s="453" t="s">
        <v>648</v>
      </c>
      <c r="AI176" s="438" t="s">
        <v>648</v>
      </c>
      <c r="AS176" s="416">
        <f>SUM(AJ177:AJ181)</f>
        <v>0</v>
      </c>
      <c r="AT176" s="416">
        <f>SUM(AK177:AK181)</f>
        <v>0</v>
      </c>
      <c r="AU176" s="416">
        <f>SUM(AL177:AL181)</f>
        <v>0</v>
      </c>
    </row>
    <row r="177" spans="1:76" ht="13.5">
      <c r="A177" s="454" t="s">
        <v>826</v>
      </c>
      <c r="B177" s="455" t="s">
        <v>787</v>
      </c>
      <c r="C177" s="428" t="s">
        <v>788</v>
      </c>
      <c r="D177" s="424"/>
      <c r="E177" s="455" t="s">
        <v>687</v>
      </c>
      <c r="F177" s="456">
        <v>0.1125</v>
      </c>
      <c r="G177" s="456">
        <v>0</v>
      </c>
      <c r="H177" s="456">
        <f>F177*AO177</f>
        <v>0</v>
      </c>
      <c r="I177" s="456">
        <f>F177*AP177</f>
        <v>0</v>
      </c>
      <c r="J177" s="456">
        <f>F177*G177</f>
        <v>0</v>
      </c>
      <c r="K177" s="457" t="s">
        <v>1410</v>
      </c>
      <c r="Z177" s="456">
        <f>IF(AQ177="5",BJ177,0)</f>
        <v>0</v>
      </c>
      <c r="AB177" s="456">
        <f>IF(AQ177="1",BH177,0)</f>
        <v>0</v>
      </c>
      <c r="AC177" s="456">
        <f>IF(AQ177="1",BI177,0)</f>
        <v>0</v>
      </c>
      <c r="AD177" s="456">
        <f>IF(AQ177="7",BH177,0)</f>
        <v>0</v>
      </c>
      <c r="AE177" s="456">
        <f>IF(AQ177="7",BI177,0)</f>
        <v>0</v>
      </c>
      <c r="AF177" s="456">
        <f>IF(AQ177="2",BH177,0)</f>
        <v>0</v>
      </c>
      <c r="AG177" s="456">
        <f>IF(AQ177="2",BI177,0)</f>
        <v>0</v>
      </c>
      <c r="AH177" s="456">
        <f>IF(AQ177="0",BJ177,0)</f>
        <v>0</v>
      </c>
      <c r="AI177" s="438" t="s">
        <v>648</v>
      </c>
      <c r="AJ177" s="456">
        <f>IF(AN177=0,J177,0)</f>
        <v>0</v>
      </c>
      <c r="AK177" s="456">
        <f>IF(AN177=12,J177,0)</f>
        <v>0</v>
      </c>
      <c r="AL177" s="456">
        <f>IF(AN177=21,J177,0)</f>
        <v>0</v>
      </c>
      <c r="AN177" s="456">
        <v>21</v>
      </c>
      <c r="AO177" s="456">
        <f>G177*0.907876404</f>
        <v>0</v>
      </c>
      <c r="AP177" s="456">
        <f>G177*(1-0.907876404)</f>
        <v>0</v>
      </c>
      <c r="AQ177" s="458" t="s">
        <v>651</v>
      </c>
      <c r="AV177" s="456">
        <f>AW177+AX177</f>
        <v>0</v>
      </c>
      <c r="AW177" s="456">
        <f>F177*AO177</f>
        <v>0</v>
      </c>
      <c r="AX177" s="456">
        <f>F177*AP177</f>
        <v>0</v>
      </c>
      <c r="AY177" s="458" t="s">
        <v>789</v>
      </c>
      <c r="AZ177" s="458" t="s">
        <v>784</v>
      </c>
      <c r="BA177" s="438" t="s">
        <v>656</v>
      </c>
      <c r="BC177" s="456">
        <f>AW177+AX177</f>
        <v>0</v>
      </c>
      <c r="BD177" s="456">
        <f>G177/(100-BE177)*100</f>
        <v>0</v>
      </c>
      <c r="BE177" s="456">
        <v>0</v>
      </c>
      <c r="BF177" s="456">
        <f>177</f>
        <v>177</v>
      </c>
      <c r="BH177" s="456">
        <f>F177*AO177</f>
        <v>0</v>
      </c>
      <c r="BI177" s="456">
        <f>F177*AP177</f>
        <v>0</v>
      </c>
      <c r="BJ177" s="456">
        <f>F177*G177</f>
        <v>0</v>
      </c>
      <c r="BK177" s="456"/>
      <c r="BL177" s="456">
        <v>27</v>
      </c>
      <c r="BW177" s="456">
        <v>21</v>
      </c>
      <c r="BX177" s="459" t="s">
        <v>788</v>
      </c>
    </row>
    <row r="178" spans="1:76" ht="13.5">
      <c r="A178" s="460"/>
      <c r="C178" s="461" t="s">
        <v>790</v>
      </c>
      <c r="D178" s="461" t="s">
        <v>648</v>
      </c>
      <c r="F178" s="462">
        <v>0.1125</v>
      </c>
      <c r="K178" s="463"/>
    </row>
    <row r="179" spans="1:76" ht="13.5">
      <c r="A179" s="454" t="s">
        <v>829</v>
      </c>
      <c r="B179" s="455" t="s">
        <v>792</v>
      </c>
      <c r="C179" s="428" t="s">
        <v>793</v>
      </c>
      <c r="D179" s="424"/>
      <c r="E179" s="455" t="s">
        <v>40</v>
      </c>
      <c r="F179" s="456">
        <v>0.3</v>
      </c>
      <c r="G179" s="456">
        <v>0</v>
      </c>
      <c r="H179" s="456">
        <f>F179*AO179</f>
        <v>0</v>
      </c>
      <c r="I179" s="456">
        <f>F179*AP179</f>
        <v>0</v>
      </c>
      <c r="J179" s="456">
        <f>F179*G179</f>
        <v>0</v>
      </c>
      <c r="K179" s="457" t="s">
        <v>1410</v>
      </c>
      <c r="Z179" s="456">
        <f>IF(AQ179="5",BJ179,0)</f>
        <v>0</v>
      </c>
      <c r="AB179" s="456">
        <f>IF(AQ179="1",BH179,0)</f>
        <v>0</v>
      </c>
      <c r="AC179" s="456">
        <f>IF(AQ179="1",BI179,0)</f>
        <v>0</v>
      </c>
      <c r="AD179" s="456">
        <f>IF(AQ179="7",BH179,0)</f>
        <v>0</v>
      </c>
      <c r="AE179" s="456">
        <f>IF(AQ179="7",BI179,0)</f>
        <v>0</v>
      </c>
      <c r="AF179" s="456">
        <f>IF(AQ179="2",BH179,0)</f>
        <v>0</v>
      </c>
      <c r="AG179" s="456">
        <f>IF(AQ179="2",BI179,0)</f>
        <v>0</v>
      </c>
      <c r="AH179" s="456">
        <f>IF(AQ179="0",BJ179,0)</f>
        <v>0</v>
      </c>
      <c r="AI179" s="438" t="s">
        <v>648</v>
      </c>
      <c r="AJ179" s="456">
        <f>IF(AN179=0,J179,0)</f>
        <v>0</v>
      </c>
      <c r="AK179" s="456">
        <f>IF(AN179=12,J179,0)</f>
        <v>0</v>
      </c>
      <c r="AL179" s="456">
        <f>IF(AN179=21,J179,0)</f>
        <v>0</v>
      </c>
      <c r="AN179" s="456">
        <v>21</v>
      </c>
      <c r="AO179" s="456">
        <f>G179*0.247667668</f>
        <v>0</v>
      </c>
      <c r="AP179" s="456">
        <f>G179*(1-0.247667668)</f>
        <v>0</v>
      </c>
      <c r="AQ179" s="458" t="s">
        <v>651</v>
      </c>
      <c r="AV179" s="456">
        <f>AW179+AX179</f>
        <v>0</v>
      </c>
      <c r="AW179" s="456">
        <f>F179*AO179</f>
        <v>0</v>
      </c>
      <c r="AX179" s="456">
        <f>F179*AP179</f>
        <v>0</v>
      </c>
      <c r="AY179" s="458" t="s">
        <v>789</v>
      </c>
      <c r="AZ179" s="458" t="s">
        <v>784</v>
      </c>
      <c r="BA179" s="438" t="s">
        <v>656</v>
      </c>
      <c r="BC179" s="456">
        <f>AW179+AX179</f>
        <v>0</v>
      </c>
      <c r="BD179" s="456">
        <f>G179/(100-BE179)*100</f>
        <v>0</v>
      </c>
      <c r="BE179" s="456">
        <v>0</v>
      </c>
      <c r="BF179" s="456">
        <f>179</f>
        <v>179</v>
      </c>
      <c r="BH179" s="456">
        <f>F179*AO179</f>
        <v>0</v>
      </c>
      <c r="BI179" s="456">
        <f>F179*AP179</f>
        <v>0</v>
      </c>
      <c r="BJ179" s="456">
        <f>F179*G179</f>
        <v>0</v>
      </c>
      <c r="BK179" s="456"/>
      <c r="BL179" s="456">
        <v>27</v>
      </c>
      <c r="BW179" s="456">
        <v>21</v>
      </c>
      <c r="BX179" s="459" t="s">
        <v>793</v>
      </c>
    </row>
    <row r="180" spans="1:76" ht="13.5">
      <c r="A180" s="460"/>
      <c r="C180" s="461" t="s">
        <v>794</v>
      </c>
      <c r="D180" s="461" t="s">
        <v>648</v>
      </c>
      <c r="F180" s="462">
        <v>0.3</v>
      </c>
      <c r="K180" s="463"/>
    </row>
    <row r="181" spans="1:76" ht="13.5">
      <c r="A181" s="454" t="s">
        <v>832</v>
      </c>
      <c r="B181" s="455" t="s">
        <v>796</v>
      </c>
      <c r="C181" s="428" t="s">
        <v>797</v>
      </c>
      <c r="D181" s="424"/>
      <c r="E181" s="455" t="s">
        <v>40</v>
      </c>
      <c r="F181" s="456">
        <v>0.3</v>
      </c>
      <c r="G181" s="456">
        <v>0</v>
      </c>
      <c r="H181" s="456">
        <f>F181*AO181</f>
        <v>0</v>
      </c>
      <c r="I181" s="456">
        <f>F181*AP181</f>
        <v>0</v>
      </c>
      <c r="J181" s="456">
        <f>F181*G181</f>
        <v>0</v>
      </c>
      <c r="K181" s="457" t="s">
        <v>1410</v>
      </c>
      <c r="Z181" s="456">
        <f>IF(AQ181="5",BJ181,0)</f>
        <v>0</v>
      </c>
      <c r="AB181" s="456">
        <f>IF(AQ181="1",BH181,0)</f>
        <v>0</v>
      </c>
      <c r="AC181" s="456">
        <f>IF(AQ181="1",BI181,0)</f>
        <v>0</v>
      </c>
      <c r="AD181" s="456">
        <f>IF(AQ181="7",BH181,0)</f>
        <v>0</v>
      </c>
      <c r="AE181" s="456">
        <f>IF(AQ181="7",BI181,0)</f>
        <v>0</v>
      </c>
      <c r="AF181" s="456">
        <f>IF(AQ181="2",BH181,0)</f>
        <v>0</v>
      </c>
      <c r="AG181" s="456">
        <f>IF(AQ181="2",BI181,0)</f>
        <v>0</v>
      </c>
      <c r="AH181" s="456">
        <f>IF(AQ181="0",BJ181,0)</f>
        <v>0</v>
      </c>
      <c r="AI181" s="438" t="s">
        <v>648</v>
      </c>
      <c r="AJ181" s="456">
        <f>IF(AN181=0,J181,0)</f>
        <v>0</v>
      </c>
      <c r="AK181" s="456">
        <f>IF(AN181=12,J181,0)</f>
        <v>0</v>
      </c>
      <c r="AL181" s="456">
        <f>IF(AN181=21,J181,0)</f>
        <v>0</v>
      </c>
      <c r="AN181" s="456">
        <v>21</v>
      </c>
      <c r="AO181" s="456">
        <f>G181*0</f>
        <v>0</v>
      </c>
      <c r="AP181" s="456">
        <f>G181*(1-0)</f>
        <v>0</v>
      </c>
      <c r="AQ181" s="458" t="s">
        <v>651</v>
      </c>
      <c r="AV181" s="456">
        <f>AW181+AX181</f>
        <v>0</v>
      </c>
      <c r="AW181" s="456">
        <f>F181*AO181</f>
        <v>0</v>
      </c>
      <c r="AX181" s="456">
        <f>F181*AP181</f>
        <v>0</v>
      </c>
      <c r="AY181" s="458" t="s">
        <v>789</v>
      </c>
      <c r="AZ181" s="458" t="s">
        <v>784</v>
      </c>
      <c r="BA181" s="438" t="s">
        <v>656</v>
      </c>
      <c r="BC181" s="456">
        <f>AW181+AX181</f>
        <v>0</v>
      </c>
      <c r="BD181" s="456">
        <f>G181/(100-BE181)*100</f>
        <v>0</v>
      </c>
      <c r="BE181" s="456">
        <v>0</v>
      </c>
      <c r="BF181" s="456">
        <f>181</f>
        <v>181</v>
      </c>
      <c r="BH181" s="456">
        <f>F181*AO181</f>
        <v>0</v>
      </c>
      <c r="BI181" s="456">
        <f>F181*AP181</f>
        <v>0</v>
      </c>
      <c r="BJ181" s="456">
        <f>F181*G181</f>
        <v>0</v>
      </c>
      <c r="BK181" s="456"/>
      <c r="BL181" s="456">
        <v>27</v>
      </c>
      <c r="BW181" s="456">
        <v>21</v>
      </c>
      <c r="BX181" s="459" t="s">
        <v>797</v>
      </c>
    </row>
    <row r="182" spans="1:76" ht="13.5">
      <c r="A182" s="460"/>
      <c r="C182" s="461" t="s">
        <v>798</v>
      </c>
      <c r="D182" s="461" t="s">
        <v>648</v>
      </c>
      <c r="F182" s="462">
        <v>0.3</v>
      </c>
      <c r="K182" s="463"/>
    </row>
    <row r="183" spans="1:76" ht="13.5">
      <c r="A183" s="448" t="s">
        <v>648</v>
      </c>
      <c r="B183" s="449" t="s">
        <v>799</v>
      </c>
      <c r="C183" s="450" t="s">
        <v>800</v>
      </c>
      <c r="D183" s="451"/>
      <c r="E183" s="452" t="s">
        <v>607</v>
      </c>
      <c r="F183" s="452" t="s">
        <v>607</v>
      </c>
      <c r="G183" s="452" t="s">
        <v>607</v>
      </c>
      <c r="H183" s="416">
        <f>SUM(H184:H184)</f>
        <v>0</v>
      </c>
      <c r="I183" s="416">
        <f>SUM(I184:I184)</f>
        <v>0</v>
      </c>
      <c r="J183" s="416">
        <f>SUM(J184:J184)</f>
        <v>0</v>
      </c>
      <c r="K183" s="453" t="s">
        <v>648</v>
      </c>
      <c r="AI183" s="438" t="s">
        <v>648</v>
      </c>
      <c r="AS183" s="416">
        <f>SUM(AJ184:AJ184)</f>
        <v>0</v>
      </c>
      <c r="AT183" s="416">
        <f>SUM(AK184:AK184)</f>
        <v>0</v>
      </c>
      <c r="AU183" s="416">
        <f>SUM(AL184:AL184)</f>
        <v>0</v>
      </c>
    </row>
    <row r="184" spans="1:76" ht="13.5">
      <c r="A184" s="454" t="s">
        <v>836</v>
      </c>
      <c r="B184" s="455" t="s">
        <v>802</v>
      </c>
      <c r="C184" s="428" t="s">
        <v>803</v>
      </c>
      <c r="D184" s="424"/>
      <c r="E184" s="455" t="s">
        <v>14</v>
      </c>
      <c r="F184" s="456">
        <v>8</v>
      </c>
      <c r="G184" s="456">
        <v>0</v>
      </c>
      <c r="H184" s="456">
        <f>F184*AO184</f>
        <v>0</v>
      </c>
      <c r="I184" s="456">
        <f>F184*AP184</f>
        <v>0</v>
      </c>
      <c r="J184" s="456">
        <f>F184*G184</f>
        <v>0</v>
      </c>
      <c r="K184" s="457" t="s">
        <v>648</v>
      </c>
      <c r="Z184" s="456">
        <f>IF(AQ184="5",BJ184,0)</f>
        <v>0</v>
      </c>
      <c r="AB184" s="456">
        <f>IF(AQ184="1",BH184,0)</f>
        <v>0</v>
      </c>
      <c r="AC184" s="456">
        <f>IF(AQ184="1",BI184,0)</f>
        <v>0</v>
      </c>
      <c r="AD184" s="456">
        <f>IF(AQ184="7",BH184,0)</f>
        <v>0</v>
      </c>
      <c r="AE184" s="456">
        <f>IF(AQ184="7",BI184,0)</f>
        <v>0</v>
      </c>
      <c r="AF184" s="456">
        <f>IF(AQ184="2",BH184,0)</f>
        <v>0</v>
      </c>
      <c r="AG184" s="456">
        <f>IF(AQ184="2",BI184,0)</f>
        <v>0</v>
      </c>
      <c r="AH184" s="456">
        <f>IF(AQ184="0",BJ184,0)</f>
        <v>0</v>
      </c>
      <c r="AI184" s="438" t="s">
        <v>648</v>
      </c>
      <c r="AJ184" s="456">
        <f>IF(AN184=0,J184,0)</f>
        <v>0</v>
      </c>
      <c r="AK184" s="456">
        <f>IF(AN184=12,J184,0)</f>
        <v>0</v>
      </c>
      <c r="AL184" s="456">
        <f>IF(AN184=21,J184,0)</f>
        <v>0</v>
      </c>
      <c r="AN184" s="456">
        <v>21</v>
      </c>
      <c r="AO184" s="456">
        <f>G184*0.333333333</f>
        <v>0</v>
      </c>
      <c r="AP184" s="456">
        <f>G184*(1-0.333333333)</f>
        <v>0</v>
      </c>
      <c r="AQ184" s="458" t="s">
        <v>651</v>
      </c>
      <c r="AV184" s="456">
        <f>AW184+AX184</f>
        <v>0</v>
      </c>
      <c r="AW184" s="456">
        <f>F184*AO184</f>
        <v>0</v>
      </c>
      <c r="AX184" s="456">
        <f>F184*AP184</f>
        <v>0</v>
      </c>
      <c r="AY184" s="458" t="s">
        <v>804</v>
      </c>
      <c r="AZ184" s="458" t="s">
        <v>805</v>
      </c>
      <c r="BA184" s="438" t="s">
        <v>656</v>
      </c>
      <c r="BC184" s="456">
        <f>AW184+AX184</f>
        <v>0</v>
      </c>
      <c r="BD184" s="456">
        <f>G184/(100-BE184)*100</f>
        <v>0</v>
      </c>
      <c r="BE184" s="456">
        <v>0</v>
      </c>
      <c r="BF184" s="456">
        <f>184</f>
        <v>184</v>
      </c>
      <c r="BH184" s="456">
        <f>F184*AO184</f>
        <v>0</v>
      </c>
      <c r="BI184" s="456">
        <f>F184*AP184</f>
        <v>0</v>
      </c>
      <c r="BJ184" s="456">
        <f>F184*G184</f>
        <v>0</v>
      </c>
      <c r="BK184" s="456"/>
      <c r="BL184" s="456">
        <v>343</v>
      </c>
      <c r="BW184" s="456">
        <v>21</v>
      </c>
      <c r="BX184" s="459" t="s">
        <v>803</v>
      </c>
    </row>
    <row r="185" spans="1:76" ht="13.5">
      <c r="A185" s="460"/>
      <c r="C185" s="461" t="s">
        <v>806</v>
      </c>
      <c r="D185" s="461" t="s">
        <v>648</v>
      </c>
      <c r="F185" s="462">
        <v>1</v>
      </c>
      <c r="K185" s="463"/>
    </row>
    <row r="186" spans="1:76" ht="13.5">
      <c r="A186" s="460"/>
      <c r="C186" s="461" t="s">
        <v>807</v>
      </c>
      <c r="D186" s="461" t="s">
        <v>648</v>
      </c>
      <c r="F186" s="462">
        <v>2</v>
      </c>
      <c r="K186" s="463"/>
    </row>
    <row r="187" spans="1:76" ht="13.5">
      <c r="A187" s="460"/>
      <c r="C187" s="461" t="s">
        <v>808</v>
      </c>
      <c r="D187" s="461" t="s">
        <v>648</v>
      </c>
      <c r="F187" s="462">
        <v>5</v>
      </c>
      <c r="K187" s="463"/>
    </row>
    <row r="188" spans="1:76" ht="13.5">
      <c r="A188" s="448" t="s">
        <v>648</v>
      </c>
      <c r="B188" s="449" t="s">
        <v>809</v>
      </c>
      <c r="C188" s="450" t="s">
        <v>810</v>
      </c>
      <c r="D188" s="451"/>
      <c r="E188" s="452" t="s">
        <v>607</v>
      </c>
      <c r="F188" s="452" t="s">
        <v>607</v>
      </c>
      <c r="G188" s="452" t="s">
        <v>607</v>
      </c>
      <c r="H188" s="416">
        <f>SUM(H189:H198)</f>
        <v>0</v>
      </c>
      <c r="I188" s="416">
        <f>SUM(I189:I198)</f>
        <v>0</v>
      </c>
      <c r="J188" s="416">
        <f>SUM(J189:J198)</f>
        <v>0</v>
      </c>
      <c r="K188" s="453" t="s">
        <v>648</v>
      </c>
      <c r="AI188" s="438" t="s">
        <v>648</v>
      </c>
      <c r="AS188" s="416">
        <f>SUM(AJ189:AJ198)</f>
        <v>0</v>
      </c>
      <c r="AT188" s="416">
        <f>SUM(AK189:AK198)</f>
        <v>0</v>
      </c>
      <c r="AU188" s="416">
        <f>SUM(AL189:AL198)</f>
        <v>0</v>
      </c>
    </row>
    <row r="189" spans="1:76" ht="13.5">
      <c r="A189" s="454" t="s">
        <v>809</v>
      </c>
      <c r="B189" s="455" t="s">
        <v>812</v>
      </c>
      <c r="C189" s="428" t="s">
        <v>1365</v>
      </c>
      <c r="D189" s="424"/>
      <c r="E189" s="455" t="s">
        <v>687</v>
      </c>
      <c r="F189" s="456">
        <v>212.26709</v>
      </c>
      <c r="G189" s="456">
        <v>0</v>
      </c>
      <c r="H189" s="456">
        <f>F189*AO189</f>
        <v>0</v>
      </c>
      <c r="I189" s="456">
        <f>F189*AP189</f>
        <v>0</v>
      </c>
      <c r="J189" s="456">
        <f>F189*G189</f>
        <v>0</v>
      </c>
      <c r="K189" s="457" t="s">
        <v>1410</v>
      </c>
      <c r="Z189" s="456">
        <f>IF(AQ189="5",BJ189,0)</f>
        <v>0</v>
      </c>
      <c r="AB189" s="456">
        <f>IF(AQ189="1",BH189,0)</f>
        <v>0</v>
      </c>
      <c r="AC189" s="456">
        <f>IF(AQ189="1",BI189,0)</f>
        <v>0</v>
      </c>
      <c r="AD189" s="456">
        <f>IF(AQ189="7",BH189,0)</f>
        <v>0</v>
      </c>
      <c r="AE189" s="456">
        <f>IF(AQ189="7",BI189,0)</f>
        <v>0</v>
      </c>
      <c r="AF189" s="456">
        <f>IF(AQ189="2",BH189,0)</f>
        <v>0</v>
      </c>
      <c r="AG189" s="456">
        <f>IF(AQ189="2",BI189,0)</f>
        <v>0</v>
      </c>
      <c r="AH189" s="456">
        <f>IF(AQ189="0",BJ189,0)</f>
        <v>0</v>
      </c>
      <c r="AI189" s="438" t="s">
        <v>648</v>
      </c>
      <c r="AJ189" s="456">
        <f>IF(AN189=0,J189,0)</f>
        <v>0</v>
      </c>
      <c r="AK189" s="456">
        <f>IF(AN189=12,J189,0)</f>
        <v>0</v>
      </c>
      <c r="AL189" s="456">
        <f>IF(AN189=21,J189,0)</f>
        <v>0</v>
      </c>
      <c r="AN189" s="456">
        <v>21</v>
      </c>
      <c r="AO189" s="456">
        <f>G189*0.483679322</f>
        <v>0</v>
      </c>
      <c r="AP189" s="456">
        <f>G189*(1-0.483679322)</f>
        <v>0</v>
      </c>
      <c r="AQ189" s="458" t="s">
        <v>651</v>
      </c>
      <c r="AV189" s="456">
        <f>AW189+AX189</f>
        <v>0</v>
      </c>
      <c r="AW189" s="456">
        <f>F189*AO189</f>
        <v>0</v>
      </c>
      <c r="AX189" s="456">
        <f>F189*AP189</f>
        <v>0</v>
      </c>
      <c r="AY189" s="458" t="s">
        <v>814</v>
      </c>
      <c r="AZ189" s="458" t="s">
        <v>815</v>
      </c>
      <c r="BA189" s="438" t="s">
        <v>656</v>
      </c>
      <c r="BC189" s="456">
        <f>AW189+AX189</f>
        <v>0</v>
      </c>
      <c r="BD189" s="456">
        <f>G189/(100-BE189)*100</f>
        <v>0</v>
      </c>
      <c r="BE189" s="456">
        <v>0</v>
      </c>
      <c r="BF189" s="456">
        <f>189</f>
        <v>189</v>
      </c>
      <c r="BH189" s="456">
        <f>F189*AO189</f>
        <v>0</v>
      </c>
      <c r="BI189" s="456">
        <f>F189*AP189</f>
        <v>0</v>
      </c>
      <c r="BJ189" s="456">
        <f>F189*G189</f>
        <v>0</v>
      </c>
      <c r="BK189" s="456"/>
      <c r="BL189" s="456">
        <v>45</v>
      </c>
      <c r="BW189" s="456">
        <v>21</v>
      </c>
      <c r="BX189" s="459" t="s">
        <v>1365</v>
      </c>
    </row>
    <row r="190" spans="1:76" ht="13.5">
      <c r="A190" s="460"/>
      <c r="C190" s="461" t="s">
        <v>816</v>
      </c>
      <c r="D190" s="461" t="s">
        <v>648</v>
      </c>
      <c r="F190" s="462">
        <v>39.18</v>
      </c>
      <c r="K190" s="463"/>
    </row>
    <row r="191" spans="1:76" ht="13.5">
      <c r="A191" s="460"/>
      <c r="C191" s="461" t="s">
        <v>1366</v>
      </c>
      <c r="D191" s="461" t="s">
        <v>648</v>
      </c>
      <c r="F191" s="462">
        <v>4.95</v>
      </c>
      <c r="K191" s="463"/>
    </row>
    <row r="192" spans="1:76" ht="13.5">
      <c r="A192" s="460"/>
      <c r="C192" s="461" t="s">
        <v>1367</v>
      </c>
      <c r="D192" s="461" t="s">
        <v>648</v>
      </c>
      <c r="F192" s="462">
        <v>10.942500000000001</v>
      </c>
      <c r="K192" s="463"/>
    </row>
    <row r="193" spans="1:76" ht="13.5">
      <c r="A193" s="460"/>
      <c r="C193" s="461" t="s">
        <v>671</v>
      </c>
      <c r="D193" s="461" t="s">
        <v>648</v>
      </c>
      <c r="F193" s="462">
        <v>0</v>
      </c>
      <c r="K193" s="463"/>
    </row>
    <row r="194" spans="1:76" ht="13.5">
      <c r="A194" s="460"/>
      <c r="C194" s="461" t="s">
        <v>1368</v>
      </c>
      <c r="D194" s="461" t="s">
        <v>648</v>
      </c>
      <c r="F194" s="462">
        <v>8.4543800000000005</v>
      </c>
      <c r="K194" s="463"/>
    </row>
    <row r="195" spans="1:76" ht="13.5">
      <c r="A195" s="460"/>
      <c r="C195" s="461" t="s">
        <v>678</v>
      </c>
      <c r="D195" s="461" t="s">
        <v>648</v>
      </c>
      <c r="F195" s="462">
        <v>0</v>
      </c>
      <c r="K195" s="463"/>
    </row>
    <row r="196" spans="1:76" ht="13.5">
      <c r="A196" s="460"/>
      <c r="C196" s="461" t="s">
        <v>1369</v>
      </c>
      <c r="D196" s="461" t="s">
        <v>648</v>
      </c>
      <c r="F196" s="462">
        <v>148.74020999999999</v>
      </c>
      <c r="K196" s="463"/>
    </row>
    <row r="197" spans="1:76" ht="13.5">
      <c r="A197" s="460"/>
      <c r="C197" s="461" t="s">
        <v>672</v>
      </c>
      <c r="D197" s="461" t="s">
        <v>648</v>
      </c>
      <c r="F197" s="462">
        <v>0</v>
      </c>
      <c r="K197" s="463"/>
    </row>
    <row r="198" spans="1:76" ht="13.5">
      <c r="A198" s="454" t="s">
        <v>841</v>
      </c>
      <c r="B198" s="455" t="s">
        <v>818</v>
      </c>
      <c r="C198" s="428" t="s">
        <v>819</v>
      </c>
      <c r="D198" s="424"/>
      <c r="E198" s="455" t="s">
        <v>687</v>
      </c>
      <c r="F198" s="456">
        <v>212.26709</v>
      </c>
      <c r="G198" s="456">
        <v>0</v>
      </c>
      <c r="H198" s="456">
        <f>F198*AO198</f>
        <v>0</v>
      </c>
      <c r="I198" s="456">
        <f>F198*AP198</f>
        <v>0</v>
      </c>
      <c r="J198" s="456">
        <f>F198*G198</f>
        <v>0</v>
      </c>
      <c r="K198" s="457" t="s">
        <v>1410</v>
      </c>
      <c r="Z198" s="456">
        <f>IF(AQ198="5",BJ198,0)</f>
        <v>0</v>
      </c>
      <c r="AB198" s="456">
        <f>IF(AQ198="1",BH198,0)</f>
        <v>0</v>
      </c>
      <c r="AC198" s="456">
        <f>IF(AQ198="1",BI198,0)</f>
        <v>0</v>
      </c>
      <c r="AD198" s="456">
        <f>IF(AQ198="7",BH198,0)</f>
        <v>0</v>
      </c>
      <c r="AE198" s="456">
        <f>IF(AQ198="7",BI198,0)</f>
        <v>0</v>
      </c>
      <c r="AF198" s="456">
        <f>IF(AQ198="2",BH198,0)</f>
        <v>0</v>
      </c>
      <c r="AG198" s="456">
        <f>IF(AQ198="2",BI198,0)</f>
        <v>0</v>
      </c>
      <c r="AH198" s="456">
        <f>IF(AQ198="0",BJ198,0)</f>
        <v>0</v>
      </c>
      <c r="AI198" s="438" t="s">
        <v>648</v>
      </c>
      <c r="AJ198" s="456">
        <f>IF(AN198=0,J198,0)</f>
        <v>0</v>
      </c>
      <c r="AK198" s="456">
        <f>IF(AN198=12,J198,0)</f>
        <v>0</v>
      </c>
      <c r="AL198" s="456">
        <f>IF(AN198=21,J198,0)</f>
        <v>0</v>
      </c>
      <c r="AN198" s="456">
        <v>21</v>
      </c>
      <c r="AO198" s="456">
        <f>G198*0</f>
        <v>0</v>
      </c>
      <c r="AP198" s="456">
        <f>G198*(1-0)</f>
        <v>0</v>
      </c>
      <c r="AQ198" s="458" t="s">
        <v>660</v>
      </c>
      <c r="AV198" s="456">
        <f>AW198+AX198</f>
        <v>0</v>
      </c>
      <c r="AW198" s="456">
        <f>F198*AO198</f>
        <v>0</v>
      </c>
      <c r="AX198" s="456">
        <f>F198*AP198</f>
        <v>0</v>
      </c>
      <c r="AY198" s="458" t="s">
        <v>814</v>
      </c>
      <c r="AZ198" s="458" t="s">
        <v>815</v>
      </c>
      <c r="BA198" s="438" t="s">
        <v>656</v>
      </c>
      <c r="BC198" s="456">
        <f>AW198+AX198</f>
        <v>0</v>
      </c>
      <c r="BD198" s="456">
        <f>G198/(100-BE198)*100</f>
        <v>0</v>
      </c>
      <c r="BE198" s="456">
        <v>0</v>
      </c>
      <c r="BF198" s="456">
        <f>198</f>
        <v>198</v>
      </c>
      <c r="BH198" s="456">
        <f>F198*AO198</f>
        <v>0</v>
      </c>
      <c r="BI198" s="456">
        <f>F198*AP198</f>
        <v>0</v>
      </c>
      <c r="BJ198" s="456">
        <f>F198*G198</f>
        <v>0</v>
      </c>
      <c r="BK198" s="456"/>
      <c r="BL198" s="456">
        <v>45</v>
      </c>
      <c r="BW198" s="456">
        <v>21</v>
      </c>
      <c r="BX198" s="459" t="s">
        <v>819</v>
      </c>
    </row>
    <row r="199" spans="1:76" ht="13.5">
      <c r="A199" s="460"/>
      <c r="C199" s="461" t="s">
        <v>1370</v>
      </c>
      <c r="D199" s="461" t="s">
        <v>648</v>
      </c>
      <c r="F199" s="462">
        <v>212.26709</v>
      </c>
      <c r="K199" s="463"/>
    </row>
    <row r="200" spans="1:76" ht="13.5">
      <c r="A200" s="448" t="s">
        <v>648</v>
      </c>
      <c r="B200" s="449" t="s">
        <v>820</v>
      </c>
      <c r="C200" s="450" t="s">
        <v>821</v>
      </c>
      <c r="D200" s="451"/>
      <c r="E200" s="452" t="s">
        <v>607</v>
      </c>
      <c r="F200" s="452" t="s">
        <v>607</v>
      </c>
      <c r="G200" s="452" t="s">
        <v>607</v>
      </c>
      <c r="H200" s="416">
        <f>SUM(H201:H207)</f>
        <v>0</v>
      </c>
      <c r="I200" s="416">
        <f>SUM(I201:I207)</f>
        <v>0</v>
      </c>
      <c r="J200" s="416">
        <f>SUM(J201:J207)</f>
        <v>0</v>
      </c>
      <c r="K200" s="453" t="s">
        <v>648</v>
      </c>
      <c r="AI200" s="438" t="s">
        <v>648</v>
      </c>
      <c r="AS200" s="416">
        <f>SUM(AJ201:AJ207)</f>
        <v>0</v>
      </c>
      <c r="AT200" s="416">
        <f>SUM(AK201:AK207)</f>
        <v>0</v>
      </c>
      <c r="AU200" s="416">
        <f>SUM(AL201:AL207)</f>
        <v>0</v>
      </c>
    </row>
    <row r="201" spans="1:76" ht="13.5">
      <c r="A201" s="454" t="s">
        <v>844</v>
      </c>
      <c r="B201" s="455" t="s">
        <v>823</v>
      </c>
      <c r="C201" s="428" t="s">
        <v>824</v>
      </c>
      <c r="D201" s="424"/>
      <c r="E201" s="455" t="s">
        <v>40</v>
      </c>
      <c r="F201" s="456">
        <v>507.2</v>
      </c>
      <c r="G201" s="456">
        <v>0</v>
      </c>
      <c r="H201" s="456">
        <f>F201*AO201</f>
        <v>0</v>
      </c>
      <c r="I201" s="456">
        <f>F201*AP201</f>
        <v>0</v>
      </c>
      <c r="J201" s="456">
        <f>F201*G201</f>
        <v>0</v>
      </c>
      <c r="K201" s="457" t="s">
        <v>1410</v>
      </c>
      <c r="Z201" s="456">
        <f>IF(AQ201="5",BJ201,0)</f>
        <v>0</v>
      </c>
      <c r="AB201" s="456">
        <f>IF(AQ201="1",BH201,0)</f>
        <v>0</v>
      </c>
      <c r="AC201" s="456">
        <f>IF(AQ201="1",BI201,0)</f>
        <v>0</v>
      </c>
      <c r="AD201" s="456">
        <f>IF(AQ201="7",BH201,0)</f>
        <v>0</v>
      </c>
      <c r="AE201" s="456">
        <f>IF(AQ201="7",BI201,0)</f>
        <v>0</v>
      </c>
      <c r="AF201" s="456">
        <f>IF(AQ201="2",BH201,0)</f>
        <v>0</v>
      </c>
      <c r="AG201" s="456">
        <f>IF(AQ201="2",BI201,0)</f>
        <v>0</v>
      </c>
      <c r="AH201" s="456">
        <f>IF(AQ201="0",BJ201,0)</f>
        <v>0</v>
      </c>
      <c r="AI201" s="438" t="s">
        <v>648</v>
      </c>
      <c r="AJ201" s="456">
        <f>IF(AN201=0,J201,0)</f>
        <v>0</v>
      </c>
      <c r="AK201" s="456">
        <f>IF(AN201=12,J201,0)</f>
        <v>0</v>
      </c>
      <c r="AL201" s="456">
        <f>IF(AN201=21,J201,0)</f>
        <v>0</v>
      </c>
      <c r="AN201" s="456">
        <v>21</v>
      </c>
      <c r="AO201" s="456">
        <f>G201*0.854845361</f>
        <v>0</v>
      </c>
      <c r="AP201" s="456">
        <f>G201*(1-0.854845361)</f>
        <v>0</v>
      </c>
      <c r="AQ201" s="458" t="s">
        <v>651</v>
      </c>
      <c r="AV201" s="456">
        <f>AW201+AX201</f>
        <v>0</v>
      </c>
      <c r="AW201" s="456">
        <f>F201*AO201</f>
        <v>0</v>
      </c>
      <c r="AX201" s="456">
        <f>F201*AP201</f>
        <v>0</v>
      </c>
      <c r="AY201" s="458" t="s">
        <v>1371</v>
      </c>
      <c r="AZ201" s="458" t="s">
        <v>825</v>
      </c>
      <c r="BA201" s="438" t="s">
        <v>656</v>
      </c>
      <c r="BC201" s="456">
        <f>AW201+AX201</f>
        <v>0</v>
      </c>
      <c r="BD201" s="456">
        <f>G201/(100-BE201)*100</f>
        <v>0</v>
      </c>
      <c r="BE201" s="456">
        <v>0</v>
      </c>
      <c r="BF201" s="456">
        <f>201</f>
        <v>201</v>
      </c>
      <c r="BH201" s="456">
        <f>F201*AO201</f>
        <v>0</v>
      </c>
      <c r="BI201" s="456">
        <f>F201*AP201</f>
        <v>0</v>
      </c>
      <c r="BJ201" s="456">
        <f>F201*G201</f>
        <v>0</v>
      </c>
      <c r="BK201" s="456"/>
      <c r="BL201" s="456">
        <v>56</v>
      </c>
      <c r="BW201" s="456">
        <v>21</v>
      </c>
      <c r="BX201" s="459" t="s">
        <v>824</v>
      </c>
    </row>
    <row r="202" spans="1:76" ht="13.5">
      <c r="A202" s="460"/>
      <c r="C202" s="461" t="s">
        <v>1512</v>
      </c>
      <c r="D202" s="461" t="s">
        <v>648</v>
      </c>
      <c r="F202" s="462">
        <v>507.2</v>
      </c>
      <c r="K202" s="463"/>
    </row>
    <row r="203" spans="1:76" ht="13.5">
      <c r="A203" s="454" t="s">
        <v>849</v>
      </c>
      <c r="B203" s="455" t="s">
        <v>827</v>
      </c>
      <c r="C203" s="428" t="s">
        <v>828</v>
      </c>
      <c r="D203" s="424"/>
      <c r="E203" s="455" t="s">
        <v>40</v>
      </c>
      <c r="F203" s="456">
        <v>507.2</v>
      </c>
      <c r="G203" s="456">
        <v>0</v>
      </c>
      <c r="H203" s="456">
        <f>F203*AO203</f>
        <v>0</v>
      </c>
      <c r="I203" s="456">
        <f>F203*AP203</f>
        <v>0</v>
      </c>
      <c r="J203" s="456">
        <f>F203*G203</f>
        <v>0</v>
      </c>
      <c r="K203" s="457" t="s">
        <v>1410</v>
      </c>
      <c r="Z203" s="456">
        <f>IF(AQ203="5",BJ203,0)</f>
        <v>0</v>
      </c>
      <c r="AB203" s="456">
        <f>IF(AQ203="1",BH203,0)</f>
        <v>0</v>
      </c>
      <c r="AC203" s="456">
        <f>IF(AQ203="1",BI203,0)</f>
        <v>0</v>
      </c>
      <c r="AD203" s="456">
        <f>IF(AQ203="7",BH203,0)</f>
        <v>0</v>
      </c>
      <c r="AE203" s="456">
        <f>IF(AQ203="7",BI203,0)</f>
        <v>0</v>
      </c>
      <c r="AF203" s="456">
        <f>IF(AQ203="2",BH203,0)</f>
        <v>0</v>
      </c>
      <c r="AG203" s="456">
        <f>IF(AQ203="2",BI203,0)</f>
        <v>0</v>
      </c>
      <c r="AH203" s="456">
        <f>IF(AQ203="0",BJ203,0)</f>
        <v>0</v>
      </c>
      <c r="AI203" s="438" t="s">
        <v>648</v>
      </c>
      <c r="AJ203" s="456">
        <f>IF(AN203=0,J203,0)</f>
        <v>0</v>
      </c>
      <c r="AK203" s="456">
        <f>IF(AN203=12,J203,0)</f>
        <v>0</v>
      </c>
      <c r="AL203" s="456">
        <f>IF(AN203=21,J203,0)</f>
        <v>0</v>
      </c>
      <c r="AN203" s="456">
        <v>21</v>
      </c>
      <c r="AO203" s="456">
        <f>G203*0.836604101</f>
        <v>0</v>
      </c>
      <c r="AP203" s="456">
        <f>G203*(1-0.836604101)</f>
        <v>0</v>
      </c>
      <c r="AQ203" s="458" t="s">
        <v>651</v>
      </c>
      <c r="AV203" s="456">
        <f>AW203+AX203</f>
        <v>0</v>
      </c>
      <c r="AW203" s="456">
        <f>F203*AO203</f>
        <v>0</v>
      </c>
      <c r="AX203" s="456">
        <f>F203*AP203</f>
        <v>0</v>
      </c>
      <c r="AY203" s="458" t="s">
        <v>1371</v>
      </c>
      <c r="AZ203" s="458" t="s">
        <v>825</v>
      </c>
      <c r="BA203" s="438" t="s">
        <v>656</v>
      </c>
      <c r="BC203" s="456">
        <f>AW203+AX203</f>
        <v>0</v>
      </c>
      <c r="BD203" s="456">
        <f>G203/(100-BE203)*100</f>
        <v>0</v>
      </c>
      <c r="BE203" s="456">
        <v>0</v>
      </c>
      <c r="BF203" s="456">
        <f>203</f>
        <v>203</v>
      </c>
      <c r="BH203" s="456">
        <f>F203*AO203</f>
        <v>0</v>
      </c>
      <c r="BI203" s="456">
        <f>F203*AP203</f>
        <v>0</v>
      </c>
      <c r="BJ203" s="456">
        <f>F203*G203</f>
        <v>0</v>
      </c>
      <c r="BK203" s="456"/>
      <c r="BL203" s="456">
        <v>56</v>
      </c>
      <c r="BW203" s="456">
        <v>21</v>
      </c>
      <c r="BX203" s="459" t="s">
        <v>828</v>
      </c>
    </row>
    <row r="204" spans="1:76" ht="13.5">
      <c r="A204" s="460"/>
      <c r="C204" s="461" t="s">
        <v>1512</v>
      </c>
      <c r="D204" s="461" t="s">
        <v>648</v>
      </c>
      <c r="F204" s="462">
        <v>507.2</v>
      </c>
      <c r="K204" s="463"/>
    </row>
    <row r="205" spans="1:76" ht="13.5">
      <c r="A205" s="454" t="s">
        <v>855</v>
      </c>
      <c r="B205" s="455" t="s">
        <v>830</v>
      </c>
      <c r="C205" s="428" t="s">
        <v>831</v>
      </c>
      <c r="D205" s="424"/>
      <c r="E205" s="455" t="s">
        <v>40</v>
      </c>
      <c r="F205" s="456">
        <v>507.2</v>
      </c>
      <c r="G205" s="456">
        <v>0</v>
      </c>
      <c r="H205" s="456">
        <f>F205*AO205</f>
        <v>0</v>
      </c>
      <c r="I205" s="456">
        <f>F205*AP205</f>
        <v>0</v>
      </c>
      <c r="J205" s="456">
        <f>F205*G205</f>
        <v>0</v>
      </c>
      <c r="K205" s="457" t="s">
        <v>1410</v>
      </c>
      <c r="Z205" s="456">
        <f>IF(AQ205="5",BJ205,0)</f>
        <v>0</v>
      </c>
      <c r="AB205" s="456">
        <f>IF(AQ205="1",BH205,0)</f>
        <v>0</v>
      </c>
      <c r="AC205" s="456">
        <f>IF(AQ205="1",BI205,0)</f>
        <v>0</v>
      </c>
      <c r="AD205" s="456">
        <f>IF(AQ205="7",BH205,0)</f>
        <v>0</v>
      </c>
      <c r="AE205" s="456">
        <f>IF(AQ205="7",BI205,0)</f>
        <v>0</v>
      </c>
      <c r="AF205" s="456">
        <f>IF(AQ205="2",BH205,0)</f>
        <v>0</v>
      </c>
      <c r="AG205" s="456">
        <f>IF(AQ205="2",BI205,0)</f>
        <v>0</v>
      </c>
      <c r="AH205" s="456">
        <f>IF(AQ205="0",BJ205,0)</f>
        <v>0</v>
      </c>
      <c r="AI205" s="438" t="s">
        <v>648</v>
      </c>
      <c r="AJ205" s="456">
        <f>IF(AN205=0,J205,0)</f>
        <v>0</v>
      </c>
      <c r="AK205" s="456">
        <f>IF(AN205=12,J205,0)</f>
        <v>0</v>
      </c>
      <c r="AL205" s="456">
        <f>IF(AN205=21,J205,0)</f>
        <v>0</v>
      </c>
      <c r="AN205" s="456">
        <v>21</v>
      </c>
      <c r="AO205" s="456">
        <f>G205*0.781372157</f>
        <v>0</v>
      </c>
      <c r="AP205" s="456">
        <f>G205*(1-0.781372157)</f>
        <v>0</v>
      </c>
      <c r="AQ205" s="458" t="s">
        <v>651</v>
      </c>
      <c r="AV205" s="456">
        <f>AW205+AX205</f>
        <v>0</v>
      </c>
      <c r="AW205" s="456">
        <f>F205*AO205</f>
        <v>0</v>
      </c>
      <c r="AX205" s="456">
        <f>F205*AP205</f>
        <v>0</v>
      </c>
      <c r="AY205" s="458" t="s">
        <v>1371</v>
      </c>
      <c r="AZ205" s="458" t="s">
        <v>825</v>
      </c>
      <c r="BA205" s="438" t="s">
        <v>656</v>
      </c>
      <c r="BC205" s="456">
        <f>AW205+AX205</f>
        <v>0</v>
      </c>
      <c r="BD205" s="456">
        <f>G205/(100-BE205)*100</f>
        <v>0</v>
      </c>
      <c r="BE205" s="456">
        <v>0</v>
      </c>
      <c r="BF205" s="456">
        <f>205</f>
        <v>205</v>
      </c>
      <c r="BH205" s="456">
        <f>F205*AO205</f>
        <v>0</v>
      </c>
      <c r="BI205" s="456">
        <f>F205*AP205</f>
        <v>0</v>
      </c>
      <c r="BJ205" s="456">
        <f>F205*G205</f>
        <v>0</v>
      </c>
      <c r="BK205" s="456"/>
      <c r="BL205" s="456">
        <v>56</v>
      </c>
      <c r="BW205" s="456">
        <v>21</v>
      </c>
      <c r="BX205" s="459" t="s">
        <v>831</v>
      </c>
    </row>
    <row r="206" spans="1:76" ht="13.5">
      <c r="A206" s="460"/>
      <c r="C206" s="461" t="s">
        <v>1512</v>
      </c>
      <c r="D206" s="461" t="s">
        <v>648</v>
      </c>
      <c r="F206" s="462">
        <v>507.2</v>
      </c>
      <c r="K206" s="463"/>
    </row>
    <row r="207" spans="1:76" ht="13.5">
      <c r="A207" s="454" t="s">
        <v>860</v>
      </c>
      <c r="B207" s="455" t="s">
        <v>827</v>
      </c>
      <c r="C207" s="428" t="s">
        <v>833</v>
      </c>
      <c r="D207" s="424"/>
      <c r="E207" s="455" t="s">
        <v>40</v>
      </c>
      <c r="F207" s="456">
        <v>213.8</v>
      </c>
      <c r="G207" s="456">
        <v>0</v>
      </c>
      <c r="H207" s="456">
        <f>F207*AO207</f>
        <v>0</v>
      </c>
      <c r="I207" s="456">
        <f>F207*AP207</f>
        <v>0</v>
      </c>
      <c r="J207" s="456">
        <f>F207*G207</f>
        <v>0</v>
      </c>
      <c r="K207" s="457" t="s">
        <v>1410</v>
      </c>
      <c r="Z207" s="456">
        <f>IF(AQ207="5",BJ207,0)</f>
        <v>0</v>
      </c>
      <c r="AB207" s="456">
        <f>IF(AQ207="1",BH207,0)</f>
        <v>0</v>
      </c>
      <c r="AC207" s="456">
        <f>IF(AQ207="1",BI207,0)</f>
        <v>0</v>
      </c>
      <c r="AD207" s="456">
        <f>IF(AQ207="7",BH207,0)</f>
        <v>0</v>
      </c>
      <c r="AE207" s="456">
        <f>IF(AQ207="7",BI207,0)</f>
        <v>0</v>
      </c>
      <c r="AF207" s="456">
        <f>IF(AQ207="2",BH207,0)</f>
        <v>0</v>
      </c>
      <c r="AG207" s="456">
        <f>IF(AQ207="2",BI207,0)</f>
        <v>0</v>
      </c>
      <c r="AH207" s="456">
        <f>IF(AQ207="0",BJ207,0)</f>
        <v>0</v>
      </c>
      <c r="AI207" s="438" t="s">
        <v>648</v>
      </c>
      <c r="AJ207" s="456">
        <f>IF(AN207=0,J207,0)</f>
        <v>0</v>
      </c>
      <c r="AK207" s="456">
        <f>IF(AN207=12,J207,0)</f>
        <v>0</v>
      </c>
      <c r="AL207" s="456">
        <f>IF(AN207=21,J207,0)</f>
        <v>0</v>
      </c>
      <c r="AN207" s="456">
        <v>21</v>
      </c>
      <c r="AO207" s="456">
        <f>G207*0.836604161</f>
        <v>0</v>
      </c>
      <c r="AP207" s="456">
        <f>G207*(1-0.836604161)</f>
        <v>0</v>
      </c>
      <c r="AQ207" s="458" t="s">
        <v>651</v>
      </c>
      <c r="AV207" s="456">
        <f>AW207+AX207</f>
        <v>0</v>
      </c>
      <c r="AW207" s="456">
        <f>F207*AO207</f>
        <v>0</v>
      </c>
      <c r="AX207" s="456">
        <f>F207*AP207</f>
        <v>0</v>
      </c>
      <c r="AY207" s="458" t="s">
        <v>1371</v>
      </c>
      <c r="AZ207" s="458" t="s">
        <v>825</v>
      </c>
      <c r="BA207" s="438" t="s">
        <v>656</v>
      </c>
      <c r="BC207" s="456">
        <f>AW207+AX207</f>
        <v>0</v>
      </c>
      <c r="BD207" s="456">
        <f>G207/(100-BE207)*100</f>
        <v>0</v>
      </c>
      <c r="BE207" s="456">
        <v>0</v>
      </c>
      <c r="BF207" s="456">
        <f>207</f>
        <v>207</v>
      </c>
      <c r="BH207" s="456">
        <f>F207*AO207</f>
        <v>0</v>
      </c>
      <c r="BI207" s="456">
        <f>F207*AP207</f>
        <v>0</v>
      </c>
      <c r="BJ207" s="456">
        <f>F207*G207</f>
        <v>0</v>
      </c>
      <c r="BK207" s="456"/>
      <c r="BL207" s="456">
        <v>56</v>
      </c>
      <c r="BW207" s="456">
        <v>21</v>
      </c>
      <c r="BX207" s="459" t="s">
        <v>833</v>
      </c>
    </row>
    <row r="208" spans="1:76" ht="13.5">
      <c r="A208" s="460"/>
      <c r="C208" s="461" t="s">
        <v>1513</v>
      </c>
      <c r="D208" s="461" t="s">
        <v>648</v>
      </c>
      <c r="F208" s="462">
        <v>213.8</v>
      </c>
      <c r="K208" s="463"/>
    </row>
    <row r="209" spans="1:76" ht="13.5">
      <c r="A209" s="448" t="s">
        <v>648</v>
      </c>
      <c r="B209" s="449" t="s">
        <v>834</v>
      </c>
      <c r="C209" s="450" t="s">
        <v>835</v>
      </c>
      <c r="D209" s="451"/>
      <c r="E209" s="452" t="s">
        <v>607</v>
      </c>
      <c r="F209" s="452" t="s">
        <v>607</v>
      </c>
      <c r="G209" s="452" t="s">
        <v>607</v>
      </c>
      <c r="H209" s="416">
        <f>SUM(H210:H216)</f>
        <v>0</v>
      </c>
      <c r="I209" s="416">
        <f>SUM(I210:I216)</f>
        <v>0</v>
      </c>
      <c r="J209" s="416">
        <f>SUM(J210:J216)</f>
        <v>0</v>
      </c>
      <c r="K209" s="453" t="s">
        <v>648</v>
      </c>
      <c r="AI209" s="438" t="s">
        <v>648</v>
      </c>
      <c r="AS209" s="416">
        <f>SUM(AJ210:AJ216)</f>
        <v>0</v>
      </c>
      <c r="AT209" s="416">
        <f>SUM(AK210:AK216)</f>
        <v>0</v>
      </c>
      <c r="AU209" s="416">
        <f>SUM(AL210:AL216)</f>
        <v>0</v>
      </c>
    </row>
    <row r="210" spans="1:76" ht="13.5">
      <c r="A210" s="454" t="s">
        <v>864</v>
      </c>
      <c r="B210" s="455" t="s">
        <v>837</v>
      </c>
      <c r="C210" s="428" t="s">
        <v>838</v>
      </c>
      <c r="D210" s="424"/>
      <c r="E210" s="455" t="s">
        <v>40</v>
      </c>
      <c r="F210" s="456">
        <v>507.2</v>
      </c>
      <c r="G210" s="456">
        <v>0</v>
      </c>
      <c r="H210" s="456">
        <f>F210*AO210</f>
        <v>0</v>
      </c>
      <c r="I210" s="456">
        <f>F210*AP210</f>
        <v>0</v>
      </c>
      <c r="J210" s="456">
        <f>F210*G210</f>
        <v>0</v>
      </c>
      <c r="K210" s="457" t="s">
        <v>1410</v>
      </c>
      <c r="Z210" s="456">
        <f>IF(AQ210="5",BJ210,0)</f>
        <v>0</v>
      </c>
      <c r="AB210" s="456">
        <f>IF(AQ210="1",BH210,0)</f>
        <v>0</v>
      </c>
      <c r="AC210" s="456">
        <f>IF(AQ210="1",BI210,0)</f>
        <v>0</v>
      </c>
      <c r="AD210" s="456">
        <f>IF(AQ210="7",BH210,0)</f>
        <v>0</v>
      </c>
      <c r="AE210" s="456">
        <f>IF(AQ210="7",BI210,0)</f>
        <v>0</v>
      </c>
      <c r="AF210" s="456">
        <f>IF(AQ210="2",BH210,0)</f>
        <v>0</v>
      </c>
      <c r="AG210" s="456">
        <f>IF(AQ210="2",BI210,0)</f>
        <v>0</v>
      </c>
      <c r="AH210" s="456">
        <f>IF(AQ210="0",BJ210,0)</f>
        <v>0</v>
      </c>
      <c r="AI210" s="438" t="s">
        <v>648</v>
      </c>
      <c r="AJ210" s="456">
        <f>IF(AN210=0,J210,0)</f>
        <v>0</v>
      </c>
      <c r="AK210" s="456">
        <f>IF(AN210=12,J210,0)</f>
        <v>0</v>
      </c>
      <c r="AL210" s="456">
        <f>IF(AN210=21,J210,0)</f>
        <v>0</v>
      </c>
      <c r="AN210" s="456">
        <v>21</v>
      </c>
      <c r="AO210" s="456">
        <f>G210*0.881507617</f>
        <v>0</v>
      </c>
      <c r="AP210" s="456">
        <f>G210*(1-0.881507617)</f>
        <v>0</v>
      </c>
      <c r="AQ210" s="458" t="s">
        <v>651</v>
      </c>
      <c r="AV210" s="456">
        <f>AW210+AX210</f>
        <v>0</v>
      </c>
      <c r="AW210" s="456">
        <f>F210*AO210</f>
        <v>0</v>
      </c>
      <c r="AX210" s="456">
        <f>F210*AP210</f>
        <v>0</v>
      </c>
      <c r="AY210" s="458" t="s">
        <v>1372</v>
      </c>
      <c r="AZ210" s="458" t="s">
        <v>825</v>
      </c>
      <c r="BA210" s="438" t="s">
        <v>656</v>
      </c>
      <c r="BC210" s="456">
        <f>AW210+AX210</f>
        <v>0</v>
      </c>
      <c r="BD210" s="456">
        <f>G210/(100-BE210)*100</f>
        <v>0</v>
      </c>
      <c r="BE210" s="456">
        <v>0</v>
      </c>
      <c r="BF210" s="456">
        <f>210</f>
        <v>210</v>
      </c>
      <c r="BH210" s="456">
        <f>F210*AO210</f>
        <v>0</v>
      </c>
      <c r="BI210" s="456">
        <f>F210*AP210</f>
        <v>0</v>
      </c>
      <c r="BJ210" s="456">
        <f>F210*G210</f>
        <v>0</v>
      </c>
      <c r="BK210" s="456"/>
      <c r="BL210" s="456">
        <v>57</v>
      </c>
      <c r="BW210" s="456">
        <v>21</v>
      </c>
      <c r="BX210" s="459" t="s">
        <v>838</v>
      </c>
    </row>
    <row r="211" spans="1:76" ht="13.5">
      <c r="A211" s="460"/>
      <c r="C211" s="461" t="s">
        <v>1512</v>
      </c>
      <c r="D211" s="461" t="s">
        <v>648</v>
      </c>
      <c r="F211" s="462">
        <v>507.2</v>
      </c>
      <c r="K211" s="463"/>
    </row>
    <row r="212" spans="1:76" ht="13.5">
      <c r="A212" s="454" t="s">
        <v>868</v>
      </c>
      <c r="B212" s="455" t="s">
        <v>839</v>
      </c>
      <c r="C212" s="428" t="s">
        <v>840</v>
      </c>
      <c r="D212" s="424"/>
      <c r="E212" s="455" t="s">
        <v>40</v>
      </c>
      <c r="F212" s="456">
        <v>507.2</v>
      </c>
      <c r="G212" s="456">
        <v>0</v>
      </c>
      <c r="H212" s="456">
        <f>F212*AO212</f>
        <v>0</v>
      </c>
      <c r="I212" s="456">
        <f>F212*AP212</f>
        <v>0</v>
      </c>
      <c r="J212" s="456">
        <f>F212*G212</f>
        <v>0</v>
      </c>
      <c r="K212" s="457" t="s">
        <v>1410</v>
      </c>
      <c r="Z212" s="456">
        <f>IF(AQ212="5",BJ212,0)</f>
        <v>0</v>
      </c>
      <c r="AB212" s="456">
        <f>IF(AQ212="1",BH212,0)</f>
        <v>0</v>
      </c>
      <c r="AC212" s="456">
        <f>IF(AQ212="1",BI212,0)</f>
        <v>0</v>
      </c>
      <c r="AD212" s="456">
        <f>IF(AQ212="7",BH212,0)</f>
        <v>0</v>
      </c>
      <c r="AE212" s="456">
        <f>IF(AQ212="7",BI212,0)</f>
        <v>0</v>
      </c>
      <c r="AF212" s="456">
        <f>IF(AQ212="2",BH212,0)</f>
        <v>0</v>
      </c>
      <c r="AG212" s="456">
        <f>IF(AQ212="2",BI212,0)</f>
        <v>0</v>
      </c>
      <c r="AH212" s="456">
        <f>IF(AQ212="0",BJ212,0)</f>
        <v>0</v>
      </c>
      <c r="AI212" s="438" t="s">
        <v>648</v>
      </c>
      <c r="AJ212" s="456">
        <f>IF(AN212=0,J212,0)</f>
        <v>0</v>
      </c>
      <c r="AK212" s="456">
        <f>IF(AN212=12,J212,0)</f>
        <v>0</v>
      </c>
      <c r="AL212" s="456">
        <f>IF(AN212=21,J212,0)</f>
        <v>0</v>
      </c>
      <c r="AN212" s="456">
        <v>21</v>
      </c>
      <c r="AO212" s="456">
        <f>G212*0.757627119</f>
        <v>0</v>
      </c>
      <c r="AP212" s="456">
        <f>G212*(1-0.757627119)</f>
        <v>0</v>
      </c>
      <c r="AQ212" s="458" t="s">
        <v>651</v>
      </c>
      <c r="AV212" s="456">
        <f>AW212+AX212</f>
        <v>0</v>
      </c>
      <c r="AW212" s="456">
        <f>F212*AO212</f>
        <v>0</v>
      </c>
      <c r="AX212" s="456">
        <f>F212*AP212</f>
        <v>0</v>
      </c>
      <c r="AY212" s="458" t="s">
        <v>1372</v>
      </c>
      <c r="AZ212" s="458" t="s">
        <v>825</v>
      </c>
      <c r="BA212" s="438" t="s">
        <v>656</v>
      </c>
      <c r="BC212" s="456">
        <f>AW212+AX212</f>
        <v>0</v>
      </c>
      <c r="BD212" s="456">
        <f>G212/(100-BE212)*100</f>
        <v>0</v>
      </c>
      <c r="BE212" s="456">
        <v>0</v>
      </c>
      <c r="BF212" s="456">
        <f>212</f>
        <v>212</v>
      </c>
      <c r="BH212" s="456">
        <f>F212*AO212</f>
        <v>0</v>
      </c>
      <c r="BI212" s="456">
        <f>F212*AP212</f>
        <v>0</v>
      </c>
      <c r="BJ212" s="456">
        <f>F212*G212</f>
        <v>0</v>
      </c>
      <c r="BK212" s="456"/>
      <c r="BL212" s="456">
        <v>57</v>
      </c>
      <c r="BW212" s="456">
        <v>21</v>
      </c>
      <c r="BX212" s="459" t="s">
        <v>840</v>
      </c>
    </row>
    <row r="213" spans="1:76" ht="13.5">
      <c r="A213" s="460"/>
      <c r="C213" s="461" t="s">
        <v>1512</v>
      </c>
      <c r="D213" s="461" t="s">
        <v>648</v>
      </c>
      <c r="F213" s="462">
        <v>507.2</v>
      </c>
      <c r="K213" s="463"/>
    </row>
    <row r="214" spans="1:76" ht="13.5">
      <c r="A214" s="454" t="s">
        <v>874</v>
      </c>
      <c r="B214" s="455" t="s">
        <v>842</v>
      </c>
      <c r="C214" s="428" t="s">
        <v>843</v>
      </c>
      <c r="D214" s="424"/>
      <c r="E214" s="455" t="s">
        <v>40</v>
      </c>
      <c r="F214" s="456">
        <v>507.2</v>
      </c>
      <c r="G214" s="456">
        <v>0</v>
      </c>
      <c r="H214" s="456">
        <f>F214*AO214</f>
        <v>0</v>
      </c>
      <c r="I214" s="456">
        <f>F214*AP214</f>
        <v>0</v>
      </c>
      <c r="J214" s="456">
        <f>F214*G214</f>
        <v>0</v>
      </c>
      <c r="K214" s="457" t="s">
        <v>1410</v>
      </c>
      <c r="Z214" s="456">
        <f>IF(AQ214="5",BJ214,0)</f>
        <v>0</v>
      </c>
      <c r="AB214" s="456">
        <f>IF(AQ214="1",BH214,0)</f>
        <v>0</v>
      </c>
      <c r="AC214" s="456">
        <f>IF(AQ214="1",BI214,0)</f>
        <v>0</v>
      </c>
      <c r="AD214" s="456">
        <f>IF(AQ214="7",BH214,0)</f>
        <v>0</v>
      </c>
      <c r="AE214" s="456">
        <f>IF(AQ214="7",BI214,0)</f>
        <v>0</v>
      </c>
      <c r="AF214" s="456">
        <f>IF(AQ214="2",BH214,0)</f>
        <v>0</v>
      </c>
      <c r="AG214" s="456">
        <f>IF(AQ214="2",BI214,0)</f>
        <v>0</v>
      </c>
      <c r="AH214" s="456">
        <f>IF(AQ214="0",BJ214,0)</f>
        <v>0</v>
      </c>
      <c r="AI214" s="438" t="s">
        <v>648</v>
      </c>
      <c r="AJ214" s="456">
        <f>IF(AN214=0,J214,0)</f>
        <v>0</v>
      </c>
      <c r="AK214" s="456">
        <f>IF(AN214=12,J214,0)</f>
        <v>0</v>
      </c>
      <c r="AL214" s="456">
        <f>IF(AN214=21,J214,0)</f>
        <v>0</v>
      </c>
      <c r="AN214" s="456">
        <v>21</v>
      </c>
      <c r="AO214" s="456">
        <f>G214*0.912146597</f>
        <v>0</v>
      </c>
      <c r="AP214" s="456">
        <f>G214*(1-0.912146597)</f>
        <v>0</v>
      </c>
      <c r="AQ214" s="458" t="s">
        <v>651</v>
      </c>
      <c r="AV214" s="456">
        <f>AW214+AX214</f>
        <v>0</v>
      </c>
      <c r="AW214" s="456">
        <f>F214*AO214</f>
        <v>0</v>
      </c>
      <c r="AX214" s="456">
        <f>F214*AP214</f>
        <v>0</v>
      </c>
      <c r="AY214" s="458" t="s">
        <v>1372</v>
      </c>
      <c r="AZ214" s="458" t="s">
        <v>825</v>
      </c>
      <c r="BA214" s="438" t="s">
        <v>656</v>
      </c>
      <c r="BC214" s="456">
        <f>AW214+AX214</f>
        <v>0</v>
      </c>
      <c r="BD214" s="456">
        <f>G214/(100-BE214)*100</f>
        <v>0</v>
      </c>
      <c r="BE214" s="456">
        <v>0</v>
      </c>
      <c r="BF214" s="456">
        <f>214</f>
        <v>214</v>
      </c>
      <c r="BH214" s="456">
        <f>F214*AO214</f>
        <v>0</v>
      </c>
      <c r="BI214" s="456">
        <f>F214*AP214</f>
        <v>0</v>
      </c>
      <c r="BJ214" s="456">
        <f>F214*G214</f>
        <v>0</v>
      </c>
      <c r="BK214" s="456"/>
      <c r="BL214" s="456">
        <v>57</v>
      </c>
      <c r="BW214" s="456">
        <v>21</v>
      </c>
      <c r="BX214" s="459" t="s">
        <v>843</v>
      </c>
    </row>
    <row r="215" spans="1:76" ht="13.5">
      <c r="A215" s="460"/>
      <c r="C215" s="461" t="s">
        <v>1512</v>
      </c>
      <c r="D215" s="461" t="s">
        <v>648</v>
      </c>
      <c r="F215" s="462">
        <v>507.2</v>
      </c>
      <c r="K215" s="463"/>
    </row>
    <row r="216" spans="1:76" ht="13.5">
      <c r="A216" s="454" t="s">
        <v>879</v>
      </c>
      <c r="B216" s="455" t="s">
        <v>845</v>
      </c>
      <c r="C216" s="428" t="s">
        <v>846</v>
      </c>
      <c r="D216" s="424"/>
      <c r="E216" s="455" t="s">
        <v>40</v>
      </c>
      <c r="F216" s="456">
        <v>132.80000000000001</v>
      </c>
      <c r="G216" s="456">
        <v>0</v>
      </c>
      <c r="H216" s="456">
        <f>F216*AO216</f>
        <v>0</v>
      </c>
      <c r="I216" s="456">
        <f>F216*AP216</f>
        <v>0</v>
      </c>
      <c r="J216" s="456">
        <f>F216*G216</f>
        <v>0</v>
      </c>
      <c r="K216" s="457" t="s">
        <v>1410</v>
      </c>
      <c r="Z216" s="456">
        <f>IF(AQ216="5",BJ216,0)</f>
        <v>0</v>
      </c>
      <c r="AB216" s="456">
        <f>IF(AQ216="1",BH216,0)</f>
        <v>0</v>
      </c>
      <c r="AC216" s="456">
        <f>IF(AQ216="1",BI216,0)</f>
        <v>0</v>
      </c>
      <c r="AD216" s="456">
        <f>IF(AQ216="7",BH216,0)</f>
        <v>0</v>
      </c>
      <c r="AE216" s="456">
        <f>IF(AQ216="7",BI216,0)</f>
        <v>0</v>
      </c>
      <c r="AF216" s="456">
        <f>IF(AQ216="2",BH216,0)</f>
        <v>0</v>
      </c>
      <c r="AG216" s="456">
        <f>IF(AQ216="2",BI216,0)</f>
        <v>0</v>
      </c>
      <c r="AH216" s="456">
        <f>IF(AQ216="0",BJ216,0)</f>
        <v>0</v>
      </c>
      <c r="AI216" s="438" t="s">
        <v>648</v>
      </c>
      <c r="AJ216" s="456">
        <f>IF(AN216=0,J216,0)</f>
        <v>0</v>
      </c>
      <c r="AK216" s="456">
        <f>IF(AN216=12,J216,0)</f>
        <v>0</v>
      </c>
      <c r="AL216" s="456">
        <f>IF(AN216=21,J216,0)</f>
        <v>0</v>
      </c>
      <c r="AN216" s="456">
        <v>21</v>
      </c>
      <c r="AO216" s="456">
        <f>G216*0.659160506</f>
        <v>0</v>
      </c>
      <c r="AP216" s="456">
        <f>G216*(1-0.659160506)</f>
        <v>0</v>
      </c>
      <c r="AQ216" s="458" t="s">
        <v>651</v>
      </c>
      <c r="AV216" s="456">
        <f>AW216+AX216</f>
        <v>0</v>
      </c>
      <c r="AW216" s="456">
        <f>F216*AO216</f>
        <v>0</v>
      </c>
      <c r="AX216" s="456">
        <f>F216*AP216</f>
        <v>0</v>
      </c>
      <c r="AY216" s="458" t="s">
        <v>1372</v>
      </c>
      <c r="AZ216" s="458" t="s">
        <v>825</v>
      </c>
      <c r="BA216" s="438" t="s">
        <v>656</v>
      </c>
      <c r="BC216" s="456">
        <f>AW216+AX216</f>
        <v>0</v>
      </c>
      <c r="BD216" s="456">
        <f>G216/(100-BE216)*100</f>
        <v>0</v>
      </c>
      <c r="BE216" s="456">
        <v>0</v>
      </c>
      <c r="BF216" s="456">
        <f>216</f>
        <v>216</v>
      </c>
      <c r="BH216" s="456">
        <f>F216*AO216</f>
        <v>0</v>
      </c>
      <c r="BI216" s="456">
        <f>F216*AP216</f>
        <v>0</v>
      </c>
      <c r="BJ216" s="456">
        <f>F216*G216</f>
        <v>0</v>
      </c>
      <c r="BK216" s="456"/>
      <c r="BL216" s="456">
        <v>57</v>
      </c>
      <c r="BW216" s="456">
        <v>21</v>
      </c>
      <c r="BX216" s="459" t="s">
        <v>846</v>
      </c>
    </row>
    <row r="217" spans="1:76" ht="13.5">
      <c r="A217" s="460"/>
      <c r="C217" s="461" t="s">
        <v>1514</v>
      </c>
      <c r="D217" s="461" t="s">
        <v>648</v>
      </c>
      <c r="F217" s="462">
        <v>132.80000000000001</v>
      </c>
      <c r="K217" s="463"/>
    </row>
    <row r="218" spans="1:76" ht="13.5">
      <c r="A218" s="448" t="s">
        <v>648</v>
      </c>
      <c r="B218" s="449" t="s">
        <v>847</v>
      </c>
      <c r="C218" s="450" t="s">
        <v>848</v>
      </c>
      <c r="D218" s="451"/>
      <c r="E218" s="452" t="s">
        <v>607</v>
      </c>
      <c r="F218" s="452" t="s">
        <v>607</v>
      </c>
      <c r="G218" s="452" t="s">
        <v>607</v>
      </c>
      <c r="H218" s="416">
        <f>SUM(H219:H219)</f>
        <v>0</v>
      </c>
      <c r="I218" s="416">
        <f>SUM(I219:I219)</f>
        <v>0</v>
      </c>
      <c r="J218" s="416">
        <f>SUM(J219:J219)</f>
        <v>0</v>
      </c>
      <c r="K218" s="453" t="s">
        <v>648</v>
      </c>
      <c r="AI218" s="438" t="s">
        <v>648</v>
      </c>
      <c r="AS218" s="416">
        <f>SUM(AJ219:AJ219)</f>
        <v>0</v>
      </c>
      <c r="AT218" s="416">
        <f>SUM(AK219:AK219)</f>
        <v>0</v>
      </c>
      <c r="AU218" s="416">
        <f>SUM(AL219:AL219)</f>
        <v>0</v>
      </c>
    </row>
    <row r="219" spans="1:76" ht="13.5">
      <c r="A219" s="454" t="s">
        <v>885</v>
      </c>
      <c r="B219" s="455" t="s">
        <v>850</v>
      </c>
      <c r="C219" s="428" t="s">
        <v>851</v>
      </c>
      <c r="D219" s="424"/>
      <c r="E219" s="455" t="s">
        <v>40</v>
      </c>
      <c r="F219" s="456">
        <v>213.8</v>
      </c>
      <c r="G219" s="456">
        <v>0</v>
      </c>
      <c r="H219" s="456">
        <f>F219*AO219</f>
        <v>0</v>
      </c>
      <c r="I219" s="456">
        <f>F219*AP219</f>
        <v>0</v>
      </c>
      <c r="J219" s="456">
        <f>F219*G219</f>
        <v>0</v>
      </c>
      <c r="K219" s="457" t="s">
        <v>1410</v>
      </c>
      <c r="Z219" s="456">
        <f>IF(AQ219="5",BJ219,0)</f>
        <v>0</v>
      </c>
      <c r="AB219" s="456">
        <f>IF(AQ219="1",BH219,0)</f>
        <v>0</v>
      </c>
      <c r="AC219" s="456">
        <f>IF(AQ219="1",BI219,0)</f>
        <v>0</v>
      </c>
      <c r="AD219" s="456">
        <f>IF(AQ219="7",BH219,0)</f>
        <v>0</v>
      </c>
      <c r="AE219" s="456">
        <f>IF(AQ219="7",BI219,0)</f>
        <v>0</v>
      </c>
      <c r="AF219" s="456">
        <f>IF(AQ219="2",BH219,0)</f>
        <v>0</v>
      </c>
      <c r="AG219" s="456">
        <f>IF(AQ219="2",BI219,0)</f>
        <v>0</v>
      </c>
      <c r="AH219" s="456">
        <f>IF(AQ219="0",BJ219,0)</f>
        <v>0</v>
      </c>
      <c r="AI219" s="438" t="s">
        <v>648</v>
      </c>
      <c r="AJ219" s="456">
        <f>IF(AN219=0,J219,0)</f>
        <v>0</v>
      </c>
      <c r="AK219" s="456">
        <f>IF(AN219=12,J219,0)</f>
        <v>0</v>
      </c>
      <c r="AL219" s="456">
        <f>IF(AN219=21,J219,0)</f>
        <v>0</v>
      </c>
      <c r="AN219" s="456">
        <v>21</v>
      </c>
      <c r="AO219" s="456">
        <f>G219*0.170541401</f>
        <v>0</v>
      </c>
      <c r="AP219" s="456">
        <f>G219*(1-0.170541401)</f>
        <v>0</v>
      </c>
      <c r="AQ219" s="458" t="s">
        <v>651</v>
      </c>
      <c r="AV219" s="456">
        <f>AW219+AX219</f>
        <v>0</v>
      </c>
      <c r="AW219" s="456">
        <f>F219*AO219</f>
        <v>0</v>
      </c>
      <c r="AX219" s="456">
        <f>F219*AP219</f>
        <v>0</v>
      </c>
      <c r="AY219" s="458" t="s">
        <v>852</v>
      </c>
      <c r="AZ219" s="458" t="s">
        <v>825</v>
      </c>
      <c r="BA219" s="438" t="s">
        <v>656</v>
      </c>
      <c r="BC219" s="456">
        <f>AW219+AX219</f>
        <v>0</v>
      </c>
      <c r="BD219" s="456">
        <f>G219/(100-BE219)*100</f>
        <v>0</v>
      </c>
      <c r="BE219" s="456">
        <v>0</v>
      </c>
      <c r="BF219" s="456">
        <f>219</f>
        <v>219</v>
      </c>
      <c r="BH219" s="456">
        <f>F219*AO219</f>
        <v>0</v>
      </c>
      <c r="BI219" s="456">
        <f>F219*AP219</f>
        <v>0</v>
      </c>
      <c r="BJ219" s="456">
        <f>F219*G219</f>
        <v>0</v>
      </c>
      <c r="BK219" s="456"/>
      <c r="BL219" s="456">
        <v>59</v>
      </c>
      <c r="BW219" s="456">
        <v>21</v>
      </c>
      <c r="BX219" s="459" t="s">
        <v>851</v>
      </c>
    </row>
    <row r="220" spans="1:76" ht="13.5">
      <c r="A220" s="460"/>
      <c r="C220" s="461" t="s">
        <v>1515</v>
      </c>
      <c r="D220" s="461" t="s">
        <v>648</v>
      </c>
      <c r="F220" s="462">
        <v>213.8</v>
      </c>
      <c r="K220" s="463"/>
    </row>
    <row r="221" spans="1:76" ht="13.5">
      <c r="A221" s="448" t="s">
        <v>648</v>
      </c>
      <c r="B221" s="449" t="s">
        <v>853</v>
      </c>
      <c r="C221" s="450" t="s">
        <v>854</v>
      </c>
      <c r="D221" s="451"/>
      <c r="E221" s="452" t="s">
        <v>607</v>
      </c>
      <c r="F221" s="452" t="s">
        <v>607</v>
      </c>
      <c r="G221" s="452" t="s">
        <v>607</v>
      </c>
      <c r="H221" s="416">
        <f>SUM(H222:H230)</f>
        <v>0</v>
      </c>
      <c r="I221" s="416">
        <f>SUM(I222:I230)</f>
        <v>0</v>
      </c>
      <c r="J221" s="416">
        <f>SUM(J222:J230)</f>
        <v>0</v>
      </c>
      <c r="K221" s="453" t="s">
        <v>648</v>
      </c>
      <c r="AI221" s="438" t="s">
        <v>648</v>
      </c>
      <c r="AS221" s="416">
        <f>SUM(AJ222:AJ230)</f>
        <v>0</v>
      </c>
      <c r="AT221" s="416">
        <f>SUM(AK222:AK230)</f>
        <v>0</v>
      </c>
      <c r="AU221" s="416">
        <f>SUM(AL222:AL230)</f>
        <v>0</v>
      </c>
    </row>
    <row r="222" spans="1:76" ht="13.5">
      <c r="A222" s="454" t="s">
        <v>820</v>
      </c>
      <c r="B222" s="455" t="s">
        <v>856</v>
      </c>
      <c r="C222" s="428" t="s">
        <v>857</v>
      </c>
      <c r="D222" s="424"/>
      <c r="E222" s="455" t="s">
        <v>7</v>
      </c>
      <c r="F222" s="456">
        <v>34.61</v>
      </c>
      <c r="G222" s="456">
        <v>0</v>
      </c>
      <c r="H222" s="456">
        <f>F222*AO222</f>
        <v>0</v>
      </c>
      <c r="I222" s="456">
        <f>F222*AP222</f>
        <v>0</v>
      </c>
      <c r="J222" s="456">
        <f>F222*G222</f>
        <v>0</v>
      </c>
      <c r="K222" s="457" t="s">
        <v>1410</v>
      </c>
      <c r="Z222" s="456">
        <f>IF(AQ222="5",BJ222,0)</f>
        <v>0</v>
      </c>
      <c r="AB222" s="456">
        <f>IF(AQ222="1",BH222,0)</f>
        <v>0</v>
      </c>
      <c r="AC222" s="456">
        <f>IF(AQ222="1",BI222,0)</f>
        <v>0</v>
      </c>
      <c r="AD222" s="456">
        <f>IF(AQ222="7",BH222,0)</f>
        <v>0</v>
      </c>
      <c r="AE222" s="456">
        <f>IF(AQ222="7",BI222,0)</f>
        <v>0</v>
      </c>
      <c r="AF222" s="456">
        <f>IF(AQ222="2",BH222,0)</f>
        <v>0</v>
      </c>
      <c r="AG222" s="456">
        <f>IF(AQ222="2",BI222,0)</f>
        <v>0</v>
      </c>
      <c r="AH222" s="456">
        <f>IF(AQ222="0",BJ222,0)</f>
        <v>0</v>
      </c>
      <c r="AI222" s="438" t="s">
        <v>648</v>
      </c>
      <c r="AJ222" s="456">
        <f>IF(AN222=0,J222,0)</f>
        <v>0</v>
      </c>
      <c r="AK222" s="456">
        <f>IF(AN222=12,J222,0)</f>
        <v>0</v>
      </c>
      <c r="AL222" s="456">
        <f>IF(AN222=21,J222,0)</f>
        <v>0</v>
      </c>
      <c r="AN222" s="456">
        <v>21</v>
      </c>
      <c r="AO222" s="456">
        <f>G222*0.030535117</f>
        <v>0</v>
      </c>
      <c r="AP222" s="456">
        <f>G222*(1-0.030535117)</f>
        <v>0</v>
      </c>
      <c r="AQ222" s="458" t="s">
        <v>679</v>
      </c>
      <c r="AV222" s="456">
        <f>AW222+AX222</f>
        <v>0</v>
      </c>
      <c r="AW222" s="456">
        <f>F222*AO222</f>
        <v>0</v>
      </c>
      <c r="AX222" s="456">
        <f>F222*AP222</f>
        <v>0</v>
      </c>
      <c r="AY222" s="458" t="s">
        <v>1373</v>
      </c>
      <c r="AZ222" s="458" t="s">
        <v>1374</v>
      </c>
      <c r="BA222" s="438" t="s">
        <v>656</v>
      </c>
      <c r="BC222" s="456">
        <f>AW222+AX222</f>
        <v>0</v>
      </c>
      <c r="BD222" s="456">
        <f>G222/(100-BE222)*100</f>
        <v>0</v>
      </c>
      <c r="BE222" s="456">
        <v>0</v>
      </c>
      <c r="BF222" s="456">
        <f>222</f>
        <v>222</v>
      </c>
      <c r="BH222" s="456">
        <f>F222*AO222</f>
        <v>0</v>
      </c>
      <c r="BI222" s="456">
        <f>F222*AP222</f>
        <v>0</v>
      </c>
      <c r="BJ222" s="456">
        <f>F222*G222</f>
        <v>0</v>
      </c>
      <c r="BK222" s="456"/>
      <c r="BL222" s="456">
        <v>722</v>
      </c>
      <c r="BW222" s="456">
        <v>21</v>
      </c>
      <c r="BX222" s="459" t="s">
        <v>857</v>
      </c>
    </row>
    <row r="223" spans="1:76" ht="13.5">
      <c r="A223" s="460"/>
      <c r="C223" s="461" t="s">
        <v>858</v>
      </c>
      <c r="D223" s="461" t="s">
        <v>648</v>
      </c>
      <c r="F223" s="462">
        <v>21.11</v>
      </c>
      <c r="K223" s="463"/>
    </row>
    <row r="224" spans="1:76" ht="13.5">
      <c r="A224" s="460"/>
      <c r="C224" s="461" t="s">
        <v>859</v>
      </c>
      <c r="D224" s="461" t="s">
        <v>648</v>
      </c>
      <c r="F224" s="462">
        <v>13.5</v>
      </c>
      <c r="K224" s="463"/>
    </row>
    <row r="225" spans="1:76" ht="13.5">
      <c r="A225" s="454" t="s">
        <v>834</v>
      </c>
      <c r="B225" s="455" t="s">
        <v>861</v>
      </c>
      <c r="C225" s="428" t="s">
        <v>862</v>
      </c>
      <c r="D225" s="424"/>
      <c r="E225" s="455" t="s">
        <v>7</v>
      </c>
      <c r="F225" s="456">
        <v>36.340499999999999</v>
      </c>
      <c r="G225" s="456">
        <v>0</v>
      </c>
      <c r="H225" s="456">
        <f>F225*AO225</f>
        <v>0</v>
      </c>
      <c r="I225" s="456">
        <f>F225*AP225</f>
        <v>0</v>
      </c>
      <c r="J225" s="456">
        <f>F225*G225</f>
        <v>0</v>
      </c>
      <c r="K225" s="457" t="s">
        <v>648</v>
      </c>
      <c r="Z225" s="456">
        <f>IF(AQ225="5",BJ225,0)</f>
        <v>0</v>
      </c>
      <c r="AB225" s="456">
        <f>IF(AQ225="1",BH225,0)</f>
        <v>0</v>
      </c>
      <c r="AC225" s="456">
        <f>IF(AQ225="1",BI225,0)</f>
        <v>0</v>
      </c>
      <c r="AD225" s="456">
        <f>IF(AQ225="7",BH225,0)</f>
        <v>0</v>
      </c>
      <c r="AE225" s="456">
        <f>IF(AQ225="7",BI225,0)</f>
        <v>0</v>
      </c>
      <c r="AF225" s="456">
        <f>IF(AQ225="2",BH225,0)</f>
        <v>0</v>
      </c>
      <c r="AG225" s="456">
        <f>IF(AQ225="2",BI225,0)</f>
        <v>0</v>
      </c>
      <c r="AH225" s="456">
        <f>IF(AQ225="0",BJ225,0)</f>
        <v>0</v>
      </c>
      <c r="AI225" s="438" t="s">
        <v>648</v>
      </c>
      <c r="AJ225" s="456">
        <f>IF(AN225=0,J225,0)</f>
        <v>0</v>
      </c>
      <c r="AK225" s="456">
        <f>IF(AN225=12,J225,0)</f>
        <v>0</v>
      </c>
      <c r="AL225" s="456">
        <f>IF(AN225=21,J225,0)</f>
        <v>0</v>
      </c>
      <c r="AN225" s="456">
        <v>21</v>
      </c>
      <c r="AO225" s="456">
        <f>G225*1</f>
        <v>0</v>
      </c>
      <c r="AP225" s="456">
        <f>G225*(1-1)</f>
        <v>0</v>
      </c>
      <c r="AQ225" s="458" t="s">
        <v>679</v>
      </c>
      <c r="AV225" s="456">
        <f>AW225+AX225</f>
        <v>0</v>
      </c>
      <c r="AW225" s="456">
        <f>F225*AO225</f>
        <v>0</v>
      </c>
      <c r="AX225" s="456">
        <f>F225*AP225</f>
        <v>0</v>
      </c>
      <c r="AY225" s="458" t="s">
        <v>1373</v>
      </c>
      <c r="AZ225" s="458" t="s">
        <v>1374</v>
      </c>
      <c r="BA225" s="438" t="s">
        <v>656</v>
      </c>
      <c r="BC225" s="456">
        <f>AW225+AX225</f>
        <v>0</v>
      </c>
      <c r="BD225" s="456">
        <f>G225/(100-BE225)*100</f>
        <v>0</v>
      </c>
      <c r="BE225" s="456">
        <v>0</v>
      </c>
      <c r="BF225" s="456">
        <f>225</f>
        <v>225</v>
      </c>
      <c r="BH225" s="456">
        <f>F225*AO225</f>
        <v>0</v>
      </c>
      <c r="BI225" s="456">
        <f>F225*AP225</f>
        <v>0</v>
      </c>
      <c r="BJ225" s="456">
        <f>F225*G225</f>
        <v>0</v>
      </c>
      <c r="BK225" s="456"/>
      <c r="BL225" s="456">
        <v>722</v>
      </c>
      <c r="BW225" s="456">
        <v>21</v>
      </c>
      <c r="BX225" s="459" t="s">
        <v>862</v>
      </c>
    </row>
    <row r="226" spans="1:76" ht="13.5">
      <c r="A226" s="460"/>
      <c r="C226" s="461" t="s">
        <v>1375</v>
      </c>
      <c r="D226" s="461" t="s">
        <v>648</v>
      </c>
      <c r="F226" s="462">
        <v>36.340499999999999</v>
      </c>
      <c r="K226" s="463"/>
    </row>
    <row r="227" spans="1:76" ht="13.5">
      <c r="A227" s="460"/>
      <c r="C227" s="461" t="s">
        <v>863</v>
      </c>
      <c r="D227" s="461" t="s">
        <v>648</v>
      </c>
      <c r="F227" s="462">
        <v>0</v>
      </c>
      <c r="K227" s="463"/>
    </row>
    <row r="228" spans="1:76" ht="13.5">
      <c r="A228" s="454" t="s">
        <v>892</v>
      </c>
      <c r="B228" s="455" t="s">
        <v>865</v>
      </c>
      <c r="C228" s="428" t="s">
        <v>866</v>
      </c>
      <c r="D228" s="424"/>
      <c r="E228" s="455" t="s">
        <v>654</v>
      </c>
      <c r="F228" s="456">
        <v>1</v>
      </c>
      <c r="G228" s="456">
        <v>0</v>
      </c>
      <c r="H228" s="456">
        <f>F228*AO228</f>
        <v>0</v>
      </c>
      <c r="I228" s="456">
        <f>F228*AP228</f>
        <v>0</v>
      </c>
      <c r="J228" s="456">
        <f>F228*G228</f>
        <v>0</v>
      </c>
      <c r="K228" s="457" t="s">
        <v>648</v>
      </c>
      <c r="Z228" s="456">
        <f>IF(AQ228="5",BJ228,0)</f>
        <v>0</v>
      </c>
      <c r="AB228" s="456">
        <f>IF(AQ228="1",BH228,0)</f>
        <v>0</v>
      </c>
      <c r="AC228" s="456">
        <f>IF(AQ228="1",BI228,0)</f>
        <v>0</v>
      </c>
      <c r="AD228" s="456">
        <f>IF(AQ228="7",BH228,0)</f>
        <v>0</v>
      </c>
      <c r="AE228" s="456">
        <f>IF(AQ228="7",BI228,0)</f>
        <v>0</v>
      </c>
      <c r="AF228" s="456">
        <f>IF(AQ228="2",BH228,0)</f>
        <v>0</v>
      </c>
      <c r="AG228" s="456">
        <f>IF(AQ228="2",BI228,0)</f>
        <v>0</v>
      </c>
      <c r="AH228" s="456">
        <f>IF(AQ228="0",BJ228,0)</f>
        <v>0</v>
      </c>
      <c r="AI228" s="438" t="s">
        <v>648</v>
      </c>
      <c r="AJ228" s="456">
        <f>IF(AN228=0,J228,0)</f>
        <v>0</v>
      </c>
      <c r="AK228" s="456">
        <f>IF(AN228=12,J228,0)</f>
        <v>0</v>
      </c>
      <c r="AL228" s="456">
        <f>IF(AN228=21,J228,0)</f>
        <v>0</v>
      </c>
      <c r="AN228" s="456">
        <v>21</v>
      </c>
      <c r="AO228" s="456">
        <f>G228*0.666666</f>
        <v>0</v>
      </c>
      <c r="AP228" s="456">
        <f>G228*(1-0.666666)</f>
        <v>0</v>
      </c>
      <c r="AQ228" s="458" t="s">
        <v>679</v>
      </c>
      <c r="AV228" s="456">
        <f>AW228+AX228</f>
        <v>0</v>
      </c>
      <c r="AW228" s="456">
        <f>F228*AO228</f>
        <v>0</v>
      </c>
      <c r="AX228" s="456">
        <f>F228*AP228</f>
        <v>0</v>
      </c>
      <c r="AY228" s="458" t="s">
        <v>1373</v>
      </c>
      <c r="AZ228" s="458" t="s">
        <v>1374</v>
      </c>
      <c r="BA228" s="438" t="s">
        <v>656</v>
      </c>
      <c r="BC228" s="456">
        <f>AW228+AX228</f>
        <v>0</v>
      </c>
      <c r="BD228" s="456">
        <f>G228/(100-BE228)*100</f>
        <v>0</v>
      </c>
      <c r="BE228" s="456">
        <v>0</v>
      </c>
      <c r="BF228" s="456">
        <f>228</f>
        <v>228</v>
      </c>
      <c r="BH228" s="456">
        <f>F228*AO228</f>
        <v>0</v>
      </c>
      <c r="BI228" s="456">
        <f>F228*AP228</f>
        <v>0</v>
      </c>
      <c r="BJ228" s="456">
        <f>F228*G228</f>
        <v>0</v>
      </c>
      <c r="BK228" s="456"/>
      <c r="BL228" s="456">
        <v>722</v>
      </c>
      <c r="BW228" s="456">
        <v>21</v>
      </c>
      <c r="BX228" s="459" t="s">
        <v>866</v>
      </c>
    </row>
    <row r="229" spans="1:76" ht="13.5">
      <c r="A229" s="460"/>
      <c r="C229" s="461" t="s">
        <v>867</v>
      </c>
      <c r="D229" s="461" t="s">
        <v>648</v>
      </c>
      <c r="F229" s="462">
        <v>1</v>
      </c>
      <c r="K229" s="463"/>
    </row>
    <row r="230" spans="1:76" ht="13.5">
      <c r="A230" s="454" t="s">
        <v>847</v>
      </c>
      <c r="B230" s="455" t="s">
        <v>869</v>
      </c>
      <c r="C230" s="428" t="s">
        <v>870</v>
      </c>
      <c r="D230" s="424"/>
      <c r="E230" s="455" t="s">
        <v>14</v>
      </c>
      <c r="F230" s="456">
        <v>7</v>
      </c>
      <c r="G230" s="456">
        <v>0</v>
      </c>
      <c r="H230" s="456">
        <f>F230*AO230</f>
        <v>0</v>
      </c>
      <c r="I230" s="456">
        <f>F230*AP230</f>
        <v>0</v>
      </c>
      <c r="J230" s="456">
        <f>F230*G230</f>
        <v>0</v>
      </c>
      <c r="K230" s="457" t="s">
        <v>1410</v>
      </c>
      <c r="Z230" s="456">
        <f>IF(AQ230="5",BJ230,0)</f>
        <v>0</v>
      </c>
      <c r="AB230" s="456">
        <f>IF(AQ230="1",BH230,0)</f>
        <v>0</v>
      </c>
      <c r="AC230" s="456">
        <f>IF(AQ230="1",BI230,0)</f>
        <v>0</v>
      </c>
      <c r="AD230" s="456">
        <f>IF(AQ230="7",BH230,0)</f>
        <v>0</v>
      </c>
      <c r="AE230" s="456">
        <f>IF(AQ230="7",BI230,0)</f>
        <v>0</v>
      </c>
      <c r="AF230" s="456">
        <f>IF(AQ230="2",BH230,0)</f>
        <v>0</v>
      </c>
      <c r="AG230" s="456">
        <f>IF(AQ230="2",BI230,0)</f>
        <v>0</v>
      </c>
      <c r="AH230" s="456">
        <f>IF(AQ230="0",BJ230,0)</f>
        <v>0</v>
      </c>
      <c r="AI230" s="438" t="s">
        <v>648</v>
      </c>
      <c r="AJ230" s="456">
        <f>IF(AN230=0,J230,0)</f>
        <v>0</v>
      </c>
      <c r="AK230" s="456">
        <f>IF(AN230=12,J230,0)</f>
        <v>0</v>
      </c>
      <c r="AL230" s="456">
        <f>IF(AN230=21,J230,0)</f>
        <v>0</v>
      </c>
      <c r="AN230" s="456">
        <v>21</v>
      </c>
      <c r="AO230" s="456">
        <f>G230*0.395083951</f>
        <v>0</v>
      </c>
      <c r="AP230" s="456">
        <f>G230*(1-0.395083951)</f>
        <v>0</v>
      </c>
      <c r="AQ230" s="458" t="s">
        <v>679</v>
      </c>
      <c r="AV230" s="456">
        <f>AW230+AX230</f>
        <v>0</v>
      </c>
      <c r="AW230" s="456">
        <f>F230*AO230</f>
        <v>0</v>
      </c>
      <c r="AX230" s="456">
        <f>F230*AP230</f>
        <v>0</v>
      </c>
      <c r="AY230" s="458" t="s">
        <v>1373</v>
      </c>
      <c r="AZ230" s="458" t="s">
        <v>1374</v>
      </c>
      <c r="BA230" s="438" t="s">
        <v>656</v>
      </c>
      <c r="BC230" s="456">
        <f>AW230+AX230</f>
        <v>0</v>
      </c>
      <c r="BD230" s="456">
        <f>G230/(100-BE230)*100</f>
        <v>0</v>
      </c>
      <c r="BE230" s="456">
        <v>0</v>
      </c>
      <c r="BF230" s="456">
        <f>230</f>
        <v>230</v>
      </c>
      <c r="BH230" s="456">
        <f>F230*AO230</f>
        <v>0</v>
      </c>
      <c r="BI230" s="456">
        <f>F230*AP230</f>
        <v>0</v>
      </c>
      <c r="BJ230" s="456">
        <f>F230*G230</f>
        <v>0</v>
      </c>
      <c r="BK230" s="456"/>
      <c r="BL230" s="456">
        <v>722</v>
      </c>
      <c r="BW230" s="456">
        <v>21</v>
      </c>
      <c r="BX230" s="459" t="s">
        <v>870</v>
      </c>
    </row>
    <row r="231" spans="1:76" ht="13.5">
      <c r="A231" s="460"/>
      <c r="C231" s="461" t="s">
        <v>871</v>
      </c>
      <c r="D231" s="461" t="s">
        <v>648</v>
      </c>
      <c r="F231" s="462">
        <v>7</v>
      </c>
      <c r="K231" s="463"/>
    </row>
    <row r="232" spans="1:76" ht="13.5">
      <c r="A232" s="448" t="s">
        <v>648</v>
      </c>
      <c r="B232" s="449" t="s">
        <v>877</v>
      </c>
      <c r="C232" s="450" t="s">
        <v>878</v>
      </c>
      <c r="D232" s="451"/>
      <c r="E232" s="452" t="s">
        <v>607</v>
      </c>
      <c r="F232" s="452" t="s">
        <v>607</v>
      </c>
      <c r="G232" s="452" t="s">
        <v>607</v>
      </c>
      <c r="H232" s="416">
        <f>SUM(H233:H280)</f>
        <v>0</v>
      </c>
      <c r="I232" s="416">
        <f>SUM(I233:I280)</f>
        <v>0</v>
      </c>
      <c r="J232" s="416">
        <f>SUM(J233:J280)</f>
        <v>0</v>
      </c>
      <c r="K232" s="453" t="s">
        <v>648</v>
      </c>
      <c r="AI232" s="438" t="s">
        <v>648</v>
      </c>
      <c r="AS232" s="416">
        <f>SUM(AJ233:AJ280)</f>
        <v>0</v>
      </c>
      <c r="AT232" s="416">
        <f>SUM(AK233:AK280)</f>
        <v>0</v>
      </c>
      <c r="AU232" s="416">
        <f>SUM(AL233:AL280)</f>
        <v>0</v>
      </c>
    </row>
    <row r="233" spans="1:76" ht="13.5">
      <c r="A233" s="454" t="s">
        <v>897</v>
      </c>
      <c r="B233" s="455" t="s">
        <v>880</v>
      </c>
      <c r="C233" s="428" t="s">
        <v>881</v>
      </c>
      <c r="D233" s="424"/>
      <c r="E233" s="455" t="s">
        <v>14</v>
      </c>
      <c r="F233" s="456">
        <v>52</v>
      </c>
      <c r="G233" s="456">
        <v>0</v>
      </c>
      <c r="H233" s="456">
        <f>F233*AO233</f>
        <v>0</v>
      </c>
      <c r="I233" s="456">
        <f>F233*AP233</f>
        <v>0</v>
      </c>
      <c r="J233" s="456">
        <f>F233*G233</f>
        <v>0</v>
      </c>
      <c r="K233" s="457" t="s">
        <v>1410</v>
      </c>
      <c r="Z233" s="456">
        <f>IF(AQ233="5",BJ233,0)</f>
        <v>0</v>
      </c>
      <c r="AB233" s="456">
        <f>IF(AQ233="1",BH233,0)</f>
        <v>0</v>
      </c>
      <c r="AC233" s="456">
        <f>IF(AQ233="1",BI233,0)</f>
        <v>0</v>
      </c>
      <c r="AD233" s="456">
        <f>IF(AQ233="7",BH233,0)</f>
        <v>0</v>
      </c>
      <c r="AE233" s="456">
        <f>IF(AQ233="7",BI233,0)</f>
        <v>0</v>
      </c>
      <c r="AF233" s="456">
        <f>IF(AQ233="2",BH233,0)</f>
        <v>0</v>
      </c>
      <c r="AG233" s="456">
        <f>IF(AQ233="2",BI233,0)</f>
        <v>0</v>
      </c>
      <c r="AH233" s="456">
        <f>IF(AQ233="0",BJ233,0)</f>
        <v>0</v>
      </c>
      <c r="AI233" s="438" t="s">
        <v>648</v>
      </c>
      <c r="AJ233" s="456">
        <f>IF(AN233=0,J233,0)</f>
        <v>0</v>
      </c>
      <c r="AK233" s="456">
        <f>IF(AN233=12,J233,0)</f>
        <v>0</v>
      </c>
      <c r="AL233" s="456">
        <f>IF(AN233=21,J233,0)</f>
        <v>0</v>
      </c>
      <c r="AN233" s="456">
        <v>21</v>
      </c>
      <c r="AO233" s="456">
        <f>G233*0.000031105</f>
        <v>0</v>
      </c>
      <c r="AP233" s="456">
        <f>G233*(1-0.000031105)</f>
        <v>0</v>
      </c>
      <c r="AQ233" s="458" t="s">
        <v>651</v>
      </c>
      <c r="AV233" s="456">
        <f>AW233+AX233</f>
        <v>0</v>
      </c>
      <c r="AW233" s="456">
        <f>F233*AO233</f>
        <v>0</v>
      </c>
      <c r="AX233" s="456">
        <f>F233*AP233</f>
        <v>0</v>
      </c>
      <c r="AY233" s="458" t="s">
        <v>882</v>
      </c>
      <c r="AZ233" s="458" t="s">
        <v>883</v>
      </c>
      <c r="BA233" s="438" t="s">
        <v>656</v>
      </c>
      <c r="BC233" s="456">
        <f>AW233+AX233</f>
        <v>0</v>
      </c>
      <c r="BD233" s="456">
        <f>G233/(100-BE233)*100</f>
        <v>0</v>
      </c>
      <c r="BE233" s="456">
        <v>0</v>
      </c>
      <c r="BF233" s="456">
        <f>233</f>
        <v>233</v>
      </c>
      <c r="BH233" s="456">
        <f>F233*AO233</f>
        <v>0</v>
      </c>
      <c r="BI233" s="456">
        <f>F233*AP233</f>
        <v>0</v>
      </c>
      <c r="BJ233" s="456">
        <f>F233*G233</f>
        <v>0</v>
      </c>
      <c r="BK233" s="456"/>
      <c r="BL233" s="456">
        <v>85</v>
      </c>
      <c r="BW233" s="456">
        <v>21</v>
      </c>
      <c r="BX233" s="459" t="s">
        <v>881</v>
      </c>
    </row>
    <row r="234" spans="1:76" ht="13.5">
      <c r="A234" s="460"/>
      <c r="C234" s="461" t="s">
        <v>1376</v>
      </c>
      <c r="D234" s="461" t="s">
        <v>648</v>
      </c>
      <c r="F234" s="462">
        <v>10</v>
      </c>
      <c r="K234" s="463"/>
    </row>
    <row r="235" spans="1:76" ht="13.5">
      <c r="A235" s="460"/>
      <c r="C235" s="461" t="s">
        <v>1377</v>
      </c>
      <c r="D235" s="461" t="s">
        <v>648</v>
      </c>
      <c r="F235" s="462">
        <v>10</v>
      </c>
      <c r="K235" s="463"/>
    </row>
    <row r="236" spans="1:76" ht="13.5">
      <c r="A236" s="460"/>
      <c r="C236" s="461" t="s">
        <v>1378</v>
      </c>
      <c r="D236" s="461" t="s">
        <v>648</v>
      </c>
      <c r="F236" s="462">
        <v>10</v>
      </c>
      <c r="K236" s="463"/>
    </row>
    <row r="237" spans="1:76" ht="13.5">
      <c r="A237" s="460"/>
      <c r="C237" s="461" t="s">
        <v>1379</v>
      </c>
      <c r="D237" s="461" t="s">
        <v>648</v>
      </c>
      <c r="F237" s="462">
        <v>10</v>
      </c>
      <c r="K237" s="463"/>
    </row>
    <row r="238" spans="1:76" ht="13.5">
      <c r="A238" s="460"/>
      <c r="C238" s="461" t="s">
        <v>1380</v>
      </c>
      <c r="D238" s="461" t="s">
        <v>648</v>
      </c>
      <c r="F238" s="462">
        <v>10</v>
      </c>
      <c r="K238" s="463"/>
    </row>
    <row r="239" spans="1:76" ht="13.5">
      <c r="A239" s="460"/>
      <c r="C239" s="461" t="s">
        <v>884</v>
      </c>
      <c r="D239" s="461" t="s">
        <v>648</v>
      </c>
      <c r="F239" s="462">
        <v>2</v>
      </c>
      <c r="K239" s="463"/>
    </row>
    <row r="240" spans="1:76" ht="13.5">
      <c r="A240" s="454" t="s">
        <v>901</v>
      </c>
      <c r="B240" s="455" t="s">
        <v>886</v>
      </c>
      <c r="C240" s="428" t="s">
        <v>887</v>
      </c>
      <c r="D240" s="424"/>
      <c r="E240" s="455" t="s">
        <v>14</v>
      </c>
      <c r="F240" s="456">
        <v>10</v>
      </c>
      <c r="G240" s="456">
        <v>0</v>
      </c>
      <c r="H240" s="456">
        <f>F240*AO240</f>
        <v>0</v>
      </c>
      <c r="I240" s="456">
        <f>F240*AP240</f>
        <v>0</v>
      </c>
      <c r="J240" s="456">
        <f>F240*G240</f>
        <v>0</v>
      </c>
      <c r="K240" s="457" t="s">
        <v>648</v>
      </c>
      <c r="Z240" s="456">
        <f>IF(AQ240="5",BJ240,0)</f>
        <v>0</v>
      </c>
      <c r="AB240" s="456">
        <f>IF(AQ240="1",BH240,0)</f>
        <v>0</v>
      </c>
      <c r="AC240" s="456">
        <f>IF(AQ240="1",BI240,0)</f>
        <v>0</v>
      </c>
      <c r="AD240" s="456">
        <f>IF(AQ240="7",BH240,0)</f>
        <v>0</v>
      </c>
      <c r="AE240" s="456">
        <f>IF(AQ240="7",BI240,0)</f>
        <v>0</v>
      </c>
      <c r="AF240" s="456">
        <f>IF(AQ240="2",BH240,0)</f>
        <v>0</v>
      </c>
      <c r="AG240" s="456">
        <f>IF(AQ240="2",BI240,0)</f>
        <v>0</v>
      </c>
      <c r="AH240" s="456">
        <f>IF(AQ240="0",BJ240,0)</f>
        <v>0</v>
      </c>
      <c r="AI240" s="438" t="s">
        <v>648</v>
      </c>
      <c r="AJ240" s="456">
        <f>IF(AN240=0,J240,0)</f>
        <v>0</v>
      </c>
      <c r="AK240" s="456">
        <f>IF(AN240=12,J240,0)</f>
        <v>0</v>
      </c>
      <c r="AL240" s="456">
        <f>IF(AN240=21,J240,0)</f>
        <v>0</v>
      </c>
      <c r="AN240" s="456">
        <v>21</v>
      </c>
      <c r="AO240" s="456">
        <f>G240*1</f>
        <v>0</v>
      </c>
      <c r="AP240" s="456">
        <f>G240*(1-1)</f>
        <v>0</v>
      </c>
      <c r="AQ240" s="458" t="s">
        <v>651</v>
      </c>
      <c r="AV240" s="456">
        <f>AW240+AX240</f>
        <v>0</v>
      </c>
      <c r="AW240" s="456">
        <f>F240*AO240</f>
        <v>0</v>
      </c>
      <c r="AX240" s="456">
        <f>F240*AP240</f>
        <v>0</v>
      </c>
      <c r="AY240" s="458" t="s">
        <v>882</v>
      </c>
      <c r="AZ240" s="458" t="s">
        <v>883</v>
      </c>
      <c r="BA240" s="438" t="s">
        <v>656</v>
      </c>
      <c r="BC240" s="456">
        <f>AW240+AX240</f>
        <v>0</v>
      </c>
      <c r="BD240" s="456">
        <f>G240/(100-BE240)*100</f>
        <v>0</v>
      </c>
      <c r="BE240" s="456">
        <v>0</v>
      </c>
      <c r="BF240" s="456">
        <f>240</f>
        <v>240</v>
      </c>
      <c r="BH240" s="456">
        <f>F240*AO240</f>
        <v>0</v>
      </c>
      <c r="BI240" s="456">
        <f>F240*AP240</f>
        <v>0</v>
      </c>
      <c r="BJ240" s="456">
        <f>F240*G240</f>
        <v>0</v>
      </c>
      <c r="BK240" s="456"/>
      <c r="BL240" s="456">
        <v>85</v>
      </c>
      <c r="BW240" s="456">
        <v>21</v>
      </c>
      <c r="BX240" s="459" t="s">
        <v>887</v>
      </c>
    </row>
    <row r="241" spans="1:76" ht="13.5">
      <c r="A241" s="460"/>
      <c r="C241" s="461" t="s">
        <v>1381</v>
      </c>
      <c r="D241" s="461" t="s">
        <v>648</v>
      </c>
      <c r="F241" s="462">
        <v>3</v>
      </c>
      <c r="K241" s="463"/>
    </row>
    <row r="242" spans="1:76" ht="13.5">
      <c r="A242" s="460"/>
      <c r="C242" s="461" t="s">
        <v>1382</v>
      </c>
      <c r="D242" s="461" t="s">
        <v>648</v>
      </c>
      <c r="F242" s="462">
        <v>4</v>
      </c>
      <c r="K242" s="463"/>
    </row>
    <row r="243" spans="1:76" ht="13.5">
      <c r="A243" s="460"/>
      <c r="C243" s="461" t="s">
        <v>1383</v>
      </c>
      <c r="D243" s="461" t="s">
        <v>648</v>
      </c>
      <c r="F243" s="462">
        <v>3</v>
      </c>
      <c r="K243" s="463"/>
    </row>
    <row r="244" spans="1:76" ht="13.5">
      <c r="A244" s="454" t="s">
        <v>908</v>
      </c>
      <c r="B244" s="455" t="s">
        <v>888</v>
      </c>
      <c r="C244" s="428" t="s">
        <v>889</v>
      </c>
      <c r="D244" s="424"/>
      <c r="E244" s="455" t="s">
        <v>14</v>
      </c>
      <c r="F244" s="456">
        <v>10</v>
      </c>
      <c r="G244" s="456">
        <v>0</v>
      </c>
      <c r="H244" s="456">
        <f>F244*AO244</f>
        <v>0</v>
      </c>
      <c r="I244" s="456">
        <f>F244*AP244</f>
        <v>0</v>
      </c>
      <c r="J244" s="456">
        <f>F244*G244</f>
        <v>0</v>
      </c>
      <c r="K244" s="457" t="s">
        <v>648</v>
      </c>
      <c r="Z244" s="456">
        <f>IF(AQ244="5",BJ244,0)</f>
        <v>0</v>
      </c>
      <c r="AB244" s="456">
        <f>IF(AQ244="1",BH244,0)</f>
        <v>0</v>
      </c>
      <c r="AC244" s="456">
        <f>IF(AQ244="1",BI244,0)</f>
        <v>0</v>
      </c>
      <c r="AD244" s="456">
        <f>IF(AQ244="7",BH244,0)</f>
        <v>0</v>
      </c>
      <c r="AE244" s="456">
        <f>IF(AQ244="7",BI244,0)</f>
        <v>0</v>
      </c>
      <c r="AF244" s="456">
        <f>IF(AQ244="2",BH244,0)</f>
        <v>0</v>
      </c>
      <c r="AG244" s="456">
        <f>IF(AQ244="2",BI244,0)</f>
        <v>0</v>
      </c>
      <c r="AH244" s="456">
        <f>IF(AQ244="0",BJ244,0)</f>
        <v>0</v>
      </c>
      <c r="AI244" s="438" t="s">
        <v>648</v>
      </c>
      <c r="AJ244" s="456">
        <f>IF(AN244=0,J244,0)</f>
        <v>0</v>
      </c>
      <c r="AK244" s="456">
        <f>IF(AN244=12,J244,0)</f>
        <v>0</v>
      </c>
      <c r="AL244" s="456">
        <f>IF(AN244=21,J244,0)</f>
        <v>0</v>
      </c>
      <c r="AN244" s="456">
        <v>21</v>
      </c>
      <c r="AO244" s="456">
        <f>G244*1</f>
        <v>0</v>
      </c>
      <c r="AP244" s="456">
        <f>G244*(1-1)</f>
        <v>0</v>
      </c>
      <c r="AQ244" s="458" t="s">
        <v>651</v>
      </c>
      <c r="AV244" s="456">
        <f>AW244+AX244</f>
        <v>0</v>
      </c>
      <c r="AW244" s="456">
        <f>F244*AO244</f>
        <v>0</v>
      </c>
      <c r="AX244" s="456">
        <f>F244*AP244</f>
        <v>0</v>
      </c>
      <c r="AY244" s="458" t="s">
        <v>882</v>
      </c>
      <c r="AZ244" s="458" t="s">
        <v>883</v>
      </c>
      <c r="BA244" s="438" t="s">
        <v>656</v>
      </c>
      <c r="BC244" s="456">
        <f>AW244+AX244</f>
        <v>0</v>
      </c>
      <c r="BD244" s="456">
        <f>G244/(100-BE244)*100</f>
        <v>0</v>
      </c>
      <c r="BE244" s="456">
        <v>0</v>
      </c>
      <c r="BF244" s="456">
        <f>244</f>
        <v>244</v>
      </c>
      <c r="BH244" s="456">
        <f>F244*AO244</f>
        <v>0</v>
      </c>
      <c r="BI244" s="456">
        <f>F244*AP244</f>
        <v>0</v>
      </c>
      <c r="BJ244" s="456">
        <f>F244*G244</f>
        <v>0</v>
      </c>
      <c r="BK244" s="456"/>
      <c r="BL244" s="456">
        <v>85</v>
      </c>
      <c r="BW244" s="456">
        <v>21</v>
      </c>
      <c r="BX244" s="459" t="s">
        <v>889</v>
      </c>
    </row>
    <row r="245" spans="1:76" ht="13.5">
      <c r="A245" s="460"/>
      <c r="C245" s="461" t="s">
        <v>1381</v>
      </c>
      <c r="D245" s="461" t="s">
        <v>648</v>
      </c>
      <c r="F245" s="462">
        <v>3</v>
      </c>
      <c r="K245" s="463"/>
    </row>
    <row r="246" spans="1:76" ht="13.5">
      <c r="A246" s="460"/>
      <c r="C246" s="461" t="s">
        <v>1382</v>
      </c>
      <c r="D246" s="461" t="s">
        <v>648</v>
      </c>
      <c r="F246" s="462">
        <v>4</v>
      </c>
      <c r="K246" s="463"/>
    </row>
    <row r="247" spans="1:76" ht="13.5">
      <c r="A247" s="460"/>
      <c r="C247" s="461" t="s">
        <v>1383</v>
      </c>
      <c r="D247" s="461" t="s">
        <v>648</v>
      </c>
      <c r="F247" s="462">
        <v>3</v>
      </c>
      <c r="K247" s="463"/>
    </row>
    <row r="248" spans="1:76" ht="13.5">
      <c r="A248" s="454" t="s">
        <v>911</v>
      </c>
      <c r="B248" s="455" t="s">
        <v>890</v>
      </c>
      <c r="C248" s="428" t="s">
        <v>891</v>
      </c>
      <c r="D248" s="424"/>
      <c r="E248" s="455" t="s">
        <v>14</v>
      </c>
      <c r="F248" s="456">
        <v>10</v>
      </c>
      <c r="G248" s="456">
        <v>0</v>
      </c>
      <c r="H248" s="456">
        <f>F248*AO248</f>
        <v>0</v>
      </c>
      <c r="I248" s="456">
        <f>F248*AP248</f>
        <v>0</v>
      </c>
      <c r="J248" s="456">
        <f>F248*G248</f>
        <v>0</v>
      </c>
      <c r="K248" s="457" t="s">
        <v>648</v>
      </c>
      <c r="Z248" s="456">
        <f>IF(AQ248="5",BJ248,0)</f>
        <v>0</v>
      </c>
      <c r="AB248" s="456">
        <f>IF(AQ248="1",BH248,0)</f>
        <v>0</v>
      </c>
      <c r="AC248" s="456">
        <f>IF(AQ248="1",BI248,0)</f>
        <v>0</v>
      </c>
      <c r="AD248" s="456">
        <f>IF(AQ248="7",BH248,0)</f>
        <v>0</v>
      </c>
      <c r="AE248" s="456">
        <f>IF(AQ248="7",BI248,0)</f>
        <v>0</v>
      </c>
      <c r="AF248" s="456">
        <f>IF(AQ248="2",BH248,0)</f>
        <v>0</v>
      </c>
      <c r="AG248" s="456">
        <f>IF(AQ248="2",BI248,0)</f>
        <v>0</v>
      </c>
      <c r="AH248" s="456">
        <f>IF(AQ248="0",BJ248,0)</f>
        <v>0</v>
      </c>
      <c r="AI248" s="438" t="s">
        <v>648</v>
      </c>
      <c r="AJ248" s="456">
        <f>IF(AN248=0,J248,0)</f>
        <v>0</v>
      </c>
      <c r="AK248" s="456">
        <f>IF(AN248=12,J248,0)</f>
        <v>0</v>
      </c>
      <c r="AL248" s="456">
        <f>IF(AN248=21,J248,0)</f>
        <v>0</v>
      </c>
      <c r="AN248" s="456">
        <v>21</v>
      </c>
      <c r="AO248" s="456">
        <f>G248*1</f>
        <v>0</v>
      </c>
      <c r="AP248" s="456">
        <f>G248*(1-1)</f>
        <v>0</v>
      </c>
      <c r="AQ248" s="458" t="s">
        <v>651</v>
      </c>
      <c r="AV248" s="456">
        <f>AW248+AX248</f>
        <v>0</v>
      </c>
      <c r="AW248" s="456">
        <f>F248*AO248</f>
        <v>0</v>
      </c>
      <c r="AX248" s="456">
        <f>F248*AP248</f>
        <v>0</v>
      </c>
      <c r="AY248" s="458" t="s">
        <v>882</v>
      </c>
      <c r="AZ248" s="458" t="s">
        <v>883</v>
      </c>
      <c r="BA248" s="438" t="s">
        <v>656</v>
      </c>
      <c r="BC248" s="456">
        <f>AW248+AX248</f>
        <v>0</v>
      </c>
      <c r="BD248" s="456">
        <f>G248/(100-BE248)*100</f>
        <v>0</v>
      </c>
      <c r="BE248" s="456">
        <v>0</v>
      </c>
      <c r="BF248" s="456">
        <f>248</f>
        <v>248</v>
      </c>
      <c r="BH248" s="456">
        <f>F248*AO248</f>
        <v>0</v>
      </c>
      <c r="BI248" s="456">
        <f>F248*AP248</f>
        <v>0</v>
      </c>
      <c r="BJ248" s="456">
        <f>F248*G248</f>
        <v>0</v>
      </c>
      <c r="BK248" s="456"/>
      <c r="BL248" s="456">
        <v>85</v>
      </c>
      <c r="BW248" s="456">
        <v>21</v>
      </c>
      <c r="BX248" s="459" t="s">
        <v>891</v>
      </c>
    </row>
    <row r="249" spans="1:76" ht="13.5">
      <c r="A249" s="460"/>
      <c r="C249" s="461" t="s">
        <v>1381</v>
      </c>
      <c r="D249" s="461" t="s">
        <v>648</v>
      </c>
      <c r="F249" s="462">
        <v>3</v>
      </c>
      <c r="K249" s="463"/>
    </row>
    <row r="250" spans="1:76" ht="13.5">
      <c r="A250" s="460"/>
      <c r="C250" s="461" t="s">
        <v>1382</v>
      </c>
      <c r="D250" s="461" t="s">
        <v>648</v>
      </c>
      <c r="F250" s="462">
        <v>4</v>
      </c>
      <c r="K250" s="463"/>
    </row>
    <row r="251" spans="1:76" ht="13.5">
      <c r="A251" s="460"/>
      <c r="C251" s="461" t="s">
        <v>1383</v>
      </c>
      <c r="D251" s="461" t="s">
        <v>648</v>
      </c>
      <c r="F251" s="462">
        <v>3</v>
      </c>
      <c r="K251" s="463"/>
    </row>
    <row r="252" spans="1:76" ht="13.5">
      <c r="A252" s="454" t="s">
        <v>914</v>
      </c>
      <c r="B252" s="455" t="s">
        <v>893</v>
      </c>
      <c r="C252" s="428" t="s">
        <v>894</v>
      </c>
      <c r="D252" s="424"/>
      <c r="E252" s="455" t="s">
        <v>14</v>
      </c>
      <c r="F252" s="456">
        <v>10</v>
      </c>
      <c r="G252" s="456">
        <v>0</v>
      </c>
      <c r="H252" s="456">
        <f>F252*AO252</f>
        <v>0</v>
      </c>
      <c r="I252" s="456">
        <f>F252*AP252</f>
        <v>0</v>
      </c>
      <c r="J252" s="456">
        <f>F252*G252</f>
        <v>0</v>
      </c>
      <c r="K252" s="457" t="s">
        <v>648</v>
      </c>
      <c r="Z252" s="456">
        <f>IF(AQ252="5",BJ252,0)</f>
        <v>0</v>
      </c>
      <c r="AB252" s="456">
        <f>IF(AQ252="1",BH252,0)</f>
        <v>0</v>
      </c>
      <c r="AC252" s="456">
        <f>IF(AQ252="1",BI252,0)</f>
        <v>0</v>
      </c>
      <c r="AD252" s="456">
        <f>IF(AQ252="7",BH252,0)</f>
        <v>0</v>
      </c>
      <c r="AE252" s="456">
        <f>IF(AQ252="7",BI252,0)</f>
        <v>0</v>
      </c>
      <c r="AF252" s="456">
        <f>IF(AQ252="2",BH252,0)</f>
        <v>0</v>
      </c>
      <c r="AG252" s="456">
        <f>IF(AQ252="2",BI252,0)</f>
        <v>0</v>
      </c>
      <c r="AH252" s="456">
        <f>IF(AQ252="0",BJ252,0)</f>
        <v>0</v>
      </c>
      <c r="AI252" s="438" t="s">
        <v>648</v>
      </c>
      <c r="AJ252" s="456">
        <f>IF(AN252=0,J252,0)</f>
        <v>0</v>
      </c>
      <c r="AK252" s="456">
        <f>IF(AN252=12,J252,0)</f>
        <v>0</v>
      </c>
      <c r="AL252" s="456">
        <f>IF(AN252=21,J252,0)</f>
        <v>0</v>
      </c>
      <c r="AN252" s="456">
        <v>21</v>
      </c>
      <c r="AO252" s="456">
        <f>G252*1</f>
        <v>0</v>
      </c>
      <c r="AP252" s="456">
        <f>G252*(1-1)</f>
        <v>0</v>
      </c>
      <c r="AQ252" s="458" t="s">
        <v>651</v>
      </c>
      <c r="AV252" s="456">
        <f>AW252+AX252</f>
        <v>0</v>
      </c>
      <c r="AW252" s="456">
        <f>F252*AO252</f>
        <v>0</v>
      </c>
      <c r="AX252" s="456">
        <f>F252*AP252</f>
        <v>0</v>
      </c>
      <c r="AY252" s="458" t="s">
        <v>882</v>
      </c>
      <c r="AZ252" s="458" t="s">
        <v>883</v>
      </c>
      <c r="BA252" s="438" t="s">
        <v>656</v>
      </c>
      <c r="BC252" s="456">
        <f>AW252+AX252</f>
        <v>0</v>
      </c>
      <c r="BD252" s="456">
        <f>G252/(100-BE252)*100</f>
        <v>0</v>
      </c>
      <c r="BE252" s="456">
        <v>0</v>
      </c>
      <c r="BF252" s="456">
        <f>252</f>
        <v>252</v>
      </c>
      <c r="BH252" s="456">
        <f>F252*AO252</f>
        <v>0</v>
      </c>
      <c r="BI252" s="456">
        <f>F252*AP252</f>
        <v>0</v>
      </c>
      <c r="BJ252" s="456">
        <f>F252*G252</f>
        <v>0</v>
      </c>
      <c r="BK252" s="456"/>
      <c r="BL252" s="456">
        <v>85</v>
      </c>
      <c r="BW252" s="456">
        <v>21</v>
      </c>
      <c r="BX252" s="459" t="s">
        <v>894</v>
      </c>
    </row>
    <row r="253" spans="1:76" ht="13.5">
      <c r="A253" s="460"/>
      <c r="C253" s="461" t="s">
        <v>1381</v>
      </c>
      <c r="D253" s="461" t="s">
        <v>648</v>
      </c>
      <c r="F253" s="462">
        <v>3</v>
      </c>
      <c r="K253" s="463"/>
    </row>
    <row r="254" spans="1:76" ht="13.5">
      <c r="A254" s="460"/>
      <c r="C254" s="461" t="s">
        <v>1382</v>
      </c>
      <c r="D254" s="461" t="s">
        <v>648</v>
      </c>
      <c r="F254" s="462">
        <v>4</v>
      </c>
      <c r="K254" s="463"/>
    </row>
    <row r="255" spans="1:76" ht="13.5">
      <c r="A255" s="460"/>
      <c r="C255" s="461" t="s">
        <v>1383</v>
      </c>
      <c r="D255" s="461" t="s">
        <v>648</v>
      </c>
      <c r="F255" s="462">
        <v>3</v>
      </c>
      <c r="K255" s="463"/>
    </row>
    <row r="256" spans="1:76" ht="13.5">
      <c r="A256" s="454" t="s">
        <v>918</v>
      </c>
      <c r="B256" s="455" t="s">
        <v>895</v>
      </c>
      <c r="C256" s="428" t="s">
        <v>896</v>
      </c>
      <c r="D256" s="424"/>
      <c r="E256" s="455" t="s">
        <v>14</v>
      </c>
      <c r="F256" s="456">
        <v>10</v>
      </c>
      <c r="G256" s="456">
        <v>0</v>
      </c>
      <c r="H256" s="456">
        <f>F256*AO256</f>
        <v>0</v>
      </c>
      <c r="I256" s="456">
        <f>F256*AP256</f>
        <v>0</v>
      </c>
      <c r="J256" s="456">
        <f>F256*G256</f>
        <v>0</v>
      </c>
      <c r="K256" s="457" t="s">
        <v>648</v>
      </c>
      <c r="Z256" s="456">
        <f>IF(AQ256="5",BJ256,0)</f>
        <v>0</v>
      </c>
      <c r="AB256" s="456">
        <f>IF(AQ256="1",BH256,0)</f>
        <v>0</v>
      </c>
      <c r="AC256" s="456">
        <f>IF(AQ256="1",BI256,0)</f>
        <v>0</v>
      </c>
      <c r="AD256" s="456">
        <f>IF(AQ256="7",BH256,0)</f>
        <v>0</v>
      </c>
      <c r="AE256" s="456">
        <f>IF(AQ256="7",BI256,0)</f>
        <v>0</v>
      </c>
      <c r="AF256" s="456">
        <f>IF(AQ256="2",BH256,0)</f>
        <v>0</v>
      </c>
      <c r="AG256" s="456">
        <f>IF(AQ256="2",BI256,0)</f>
        <v>0</v>
      </c>
      <c r="AH256" s="456">
        <f>IF(AQ256="0",BJ256,0)</f>
        <v>0</v>
      </c>
      <c r="AI256" s="438" t="s">
        <v>648</v>
      </c>
      <c r="AJ256" s="456">
        <f>IF(AN256=0,J256,0)</f>
        <v>0</v>
      </c>
      <c r="AK256" s="456">
        <f>IF(AN256=12,J256,0)</f>
        <v>0</v>
      </c>
      <c r="AL256" s="456">
        <f>IF(AN256=21,J256,0)</f>
        <v>0</v>
      </c>
      <c r="AN256" s="456">
        <v>21</v>
      </c>
      <c r="AO256" s="456">
        <f>G256*1</f>
        <v>0</v>
      </c>
      <c r="AP256" s="456">
        <f>G256*(1-1)</f>
        <v>0</v>
      </c>
      <c r="AQ256" s="458" t="s">
        <v>651</v>
      </c>
      <c r="AV256" s="456">
        <f>AW256+AX256</f>
        <v>0</v>
      </c>
      <c r="AW256" s="456">
        <f>F256*AO256</f>
        <v>0</v>
      </c>
      <c r="AX256" s="456">
        <f>F256*AP256</f>
        <v>0</v>
      </c>
      <c r="AY256" s="458" t="s">
        <v>882</v>
      </c>
      <c r="AZ256" s="458" t="s">
        <v>883</v>
      </c>
      <c r="BA256" s="438" t="s">
        <v>656</v>
      </c>
      <c r="BC256" s="456">
        <f>AW256+AX256</f>
        <v>0</v>
      </c>
      <c r="BD256" s="456">
        <f>G256/(100-BE256)*100</f>
        <v>0</v>
      </c>
      <c r="BE256" s="456">
        <v>0</v>
      </c>
      <c r="BF256" s="456">
        <f>256</f>
        <v>256</v>
      </c>
      <c r="BH256" s="456">
        <f>F256*AO256</f>
        <v>0</v>
      </c>
      <c r="BI256" s="456">
        <f>F256*AP256</f>
        <v>0</v>
      </c>
      <c r="BJ256" s="456">
        <f>F256*G256</f>
        <v>0</v>
      </c>
      <c r="BK256" s="456"/>
      <c r="BL256" s="456">
        <v>85</v>
      </c>
      <c r="BW256" s="456">
        <v>21</v>
      </c>
      <c r="BX256" s="459" t="s">
        <v>896</v>
      </c>
    </row>
    <row r="257" spans="1:76" ht="13.5">
      <c r="A257" s="460"/>
      <c r="C257" s="461" t="s">
        <v>1381</v>
      </c>
      <c r="D257" s="461" t="s">
        <v>648</v>
      </c>
      <c r="F257" s="462">
        <v>3</v>
      </c>
      <c r="K257" s="463"/>
    </row>
    <row r="258" spans="1:76" ht="13.5">
      <c r="A258" s="460"/>
      <c r="C258" s="461" t="s">
        <v>1382</v>
      </c>
      <c r="D258" s="461" t="s">
        <v>648</v>
      </c>
      <c r="F258" s="462">
        <v>4</v>
      </c>
      <c r="K258" s="463"/>
    </row>
    <row r="259" spans="1:76" ht="13.5">
      <c r="A259" s="460"/>
      <c r="C259" s="461" t="s">
        <v>1383</v>
      </c>
      <c r="D259" s="461" t="s">
        <v>648</v>
      </c>
      <c r="F259" s="462">
        <v>3</v>
      </c>
      <c r="K259" s="463"/>
    </row>
    <row r="260" spans="1:76" ht="13.5">
      <c r="A260" s="454" t="s">
        <v>921</v>
      </c>
      <c r="B260" s="455" t="s">
        <v>898</v>
      </c>
      <c r="C260" s="428" t="s">
        <v>899</v>
      </c>
      <c r="D260" s="424"/>
      <c r="E260" s="455" t="s">
        <v>14</v>
      </c>
      <c r="F260" s="456">
        <v>2</v>
      </c>
      <c r="G260" s="456">
        <v>0</v>
      </c>
      <c r="H260" s="456">
        <f>F260*AO260</f>
        <v>0</v>
      </c>
      <c r="I260" s="456">
        <f>F260*AP260</f>
        <v>0</v>
      </c>
      <c r="J260" s="456">
        <f>F260*G260</f>
        <v>0</v>
      </c>
      <c r="K260" s="457" t="s">
        <v>648</v>
      </c>
      <c r="Z260" s="456">
        <f>IF(AQ260="5",BJ260,0)</f>
        <v>0</v>
      </c>
      <c r="AB260" s="456">
        <f>IF(AQ260="1",BH260,0)</f>
        <v>0</v>
      </c>
      <c r="AC260" s="456">
        <f>IF(AQ260="1",BI260,0)</f>
        <v>0</v>
      </c>
      <c r="AD260" s="456">
        <f>IF(AQ260="7",BH260,0)</f>
        <v>0</v>
      </c>
      <c r="AE260" s="456">
        <f>IF(AQ260="7",BI260,0)</f>
        <v>0</v>
      </c>
      <c r="AF260" s="456">
        <f>IF(AQ260="2",BH260,0)</f>
        <v>0</v>
      </c>
      <c r="AG260" s="456">
        <f>IF(AQ260="2",BI260,0)</f>
        <v>0</v>
      </c>
      <c r="AH260" s="456">
        <f>IF(AQ260="0",BJ260,0)</f>
        <v>0</v>
      </c>
      <c r="AI260" s="438" t="s">
        <v>648</v>
      </c>
      <c r="AJ260" s="456">
        <f>IF(AN260=0,J260,0)</f>
        <v>0</v>
      </c>
      <c r="AK260" s="456">
        <f>IF(AN260=12,J260,0)</f>
        <v>0</v>
      </c>
      <c r="AL260" s="456">
        <f>IF(AN260=21,J260,0)</f>
        <v>0</v>
      </c>
      <c r="AN260" s="456">
        <v>21</v>
      </c>
      <c r="AO260" s="456">
        <f>G260*1</f>
        <v>0</v>
      </c>
      <c r="AP260" s="456">
        <f>G260*(1-1)</f>
        <v>0</v>
      </c>
      <c r="AQ260" s="458" t="s">
        <v>651</v>
      </c>
      <c r="AV260" s="456">
        <f>AW260+AX260</f>
        <v>0</v>
      </c>
      <c r="AW260" s="456">
        <f>F260*AO260</f>
        <v>0</v>
      </c>
      <c r="AX260" s="456">
        <f>F260*AP260</f>
        <v>0</v>
      </c>
      <c r="AY260" s="458" t="s">
        <v>882</v>
      </c>
      <c r="AZ260" s="458" t="s">
        <v>883</v>
      </c>
      <c r="BA260" s="438" t="s">
        <v>656</v>
      </c>
      <c r="BC260" s="456">
        <f>AW260+AX260</f>
        <v>0</v>
      </c>
      <c r="BD260" s="456">
        <f>G260/(100-BE260)*100</f>
        <v>0</v>
      </c>
      <c r="BE260" s="456">
        <v>0</v>
      </c>
      <c r="BF260" s="456">
        <f>260</f>
        <v>260</v>
      </c>
      <c r="BH260" s="456">
        <f>F260*AO260</f>
        <v>0</v>
      </c>
      <c r="BI260" s="456">
        <f>F260*AP260</f>
        <v>0</v>
      </c>
      <c r="BJ260" s="456">
        <f>F260*G260</f>
        <v>0</v>
      </c>
      <c r="BK260" s="456"/>
      <c r="BL260" s="456">
        <v>85</v>
      </c>
      <c r="BW260" s="456">
        <v>21</v>
      </c>
      <c r="BX260" s="459" t="s">
        <v>899</v>
      </c>
    </row>
    <row r="261" spans="1:76" ht="13.5">
      <c r="A261" s="460"/>
      <c r="C261" s="461" t="s">
        <v>900</v>
      </c>
      <c r="D261" s="461" t="s">
        <v>648</v>
      </c>
      <c r="F261" s="462">
        <v>2</v>
      </c>
      <c r="K261" s="463"/>
    </row>
    <row r="262" spans="1:76" ht="13.5">
      <c r="A262" s="454" t="s">
        <v>924</v>
      </c>
      <c r="B262" s="455" t="s">
        <v>902</v>
      </c>
      <c r="C262" s="428" t="s">
        <v>903</v>
      </c>
      <c r="D262" s="424"/>
      <c r="E262" s="455" t="s">
        <v>14</v>
      </c>
      <c r="F262" s="456">
        <v>8</v>
      </c>
      <c r="G262" s="456">
        <v>0</v>
      </c>
      <c r="H262" s="456">
        <f>F262*AO262</f>
        <v>0</v>
      </c>
      <c r="I262" s="456">
        <f>F262*AP262</f>
        <v>0</v>
      </c>
      <c r="J262" s="456">
        <f>F262*G262</f>
        <v>0</v>
      </c>
      <c r="K262" s="457" t="s">
        <v>1410</v>
      </c>
      <c r="Z262" s="456">
        <f>IF(AQ262="5",BJ262,0)</f>
        <v>0</v>
      </c>
      <c r="AB262" s="456">
        <f>IF(AQ262="1",BH262,0)</f>
        <v>0</v>
      </c>
      <c r="AC262" s="456">
        <f>IF(AQ262="1",BI262,0)</f>
        <v>0</v>
      </c>
      <c r="AD262" s="456">
        <f>IF(AQ262="7",BH262,0)</f>
        <v>0</v>
      </c>
      <c r="AE262" s="456">
        <f>IF(AQ262="7",BI262,0)</f>
        <v>0</v>
      </c>
      <c r="AF262" s="456">
        <f>IF(AQ262="2",BH262,0)</f>
        <v>0</v>
      </c>
      <c r="AG262" s="456">
        <f>IF(AQ262="2",BI262,0)</f>
        <v>0</v>
      </c>
      <c r="AH262" s="456">
        <f>IF(AQ262="0",BJ262,0)</f>
        <v>0</v>
      </c>
      <c r="AI262" s="438" t="s">
        <v>648</v>
      </c>
      <c r="AJ262" s="456">
        <f>IF(AN262=0,J262,0)</f>
        <v>0</v>
      </c>
      <c r="AK262" s="456">
        <f>IF(AN262=12,J262,0)</f>
        <v>0</v>
      </c>
      <c r="AL262" s="456">
        <f>IF(AN262=21,J262,0)</f>
        <v>0</v>
      </c>
      <c r="AN262" s="456">
        <v>21</v>
      </c>
      <c r="AO262" s="456">
        <f>G262*0.000029761</f>
        <v>0</v>
      </c>
      <c r="AP262" s="456">
        <f>G262*(1-0.000029761)</f>
        <v>0</v>
      </c>
      <c r="AQ262" s="458" t="s">
        <v>651</v>
      </c>
      <c r="AV262" s="456">
        <f>AW262+AX262</f>
        <v>0</v>
      </c>
      <c r="AW262" s="456">
        <f>F262*AO262</f>
        <v>0</v>
      </c>
      <c r="AX262" s="456">
        <f>F262*AP262</f>
        <v>0</v>
      </c>
      <c r="AY262" s="458" t="s">
        <v>882</v>
      </c>
      <c r="AZ262" s="458" t="s">
        <v>883</v>
      </c>
      <c r="BA262" s="438" t="s">
        <v>656</v>
      </c>
      <c r="BC262" s="456">
        <f>AW262+AX262</f>
        <v>0</v>
      </c>
      <c r="BD262" s="456">
        <f>G262/(100-BE262)*100</f>
        <v>0</v>
      </c>
      <c r="BE262" s="456">
        <v>0</v>
      </c>
      <c r="BF262" s="456">
        <f>262</f>
        <v>262</v>
      </c>
      <c r="BH262" s="456">
        <f>F262*AO262</f>
        <v>0</v>
      </c>
      <c r="BI262" s="456">
        <f>F262*AP262</f>
        <v>0</v>
      </c>
      <c r="BJ262" s="456">
        <f>F262*G262</f>
        <v>0</v>
      </c>
      <c r="BK262" s="456"/>
      <c r="BL262" s="456">
        <v>85</v>
      </c>
      <c r="BW262" s="456">
        <v>21</v>
      </c>
      <c r="BX262" s="459" t="s">
        <v>903</v>
      </c>
    </row>
    <row r="263" spans="1:76" ht="13.5">
      <c r="A263" s="460"/>
      <c r="C263" s="461" t="s">
        <v>1384</v>
      </c>
      <c r="D263" s="461" t="s">
        <v>648</v>
      </c>
      <c r="F263" s="462">
        <v>3</v>
      </c>
      <c r="K263" s="463"/>
    </row>
    <row r="264" spans="1:76" ht="13.5">
      <c r="A264" s="460"/>
      <c r="C264" s="461" t="s">
        <v>904</v>
      </c>
      <c r="D264" s="461" t="s">
        <v>648</v>
      </c>
      <c r="F264" s="462">
        <v>2</v>
      </c>
      <c r="K264" s="463"/>
    </row>
    <row r="265" spans="1:76" ht="13.5">
      <c r="A265" s="460"/>
      <c r="C265" s="461" t="s">
        <v>905</v>
      </c>
      <c r="D265" s="461" t="s">
        <v>648</v>
      </c>
      <c r="F265" s="462">
        <v>1</v>
      </c>
      <c r="K265" s="463"/>
    </row>
    <row r="266" spans="1:76" ht="13.5">
      <c r="A266" s="460"/>
      <c r="C266" s="461" t="s">
        <v>906</v>
      </c>
      <c r="D266" s="461" t="s">
        <v>648</v>
      </c>
      <c r="F266" s="462">
        <v>1</v>
      </c>
      <c r="K266" s="463"/>
    </row>
    <row r="267" spans="1:76" ht="13.5">
      <c r="A267" s="460"/>
      <c r="C267" s="461" t="s">
        <v>907</v>
      </c>
      <c r="D267" s="461" t="s">
        <v>648</v>
      </c>
      <c r="F267" s="462">
        <v>1</v>
      </c>
      <c r="K267" s="463"/>
    </row>
    <row r="268" spans="1:76" ht="13.5">
      <c r="A268" s="454" t="s">
        <v>927</v>
      </c>
      <c r="B268" s="455" t="s">
        <v>909</v>
      </c>
      <c r="C268" s="428" t="s">
        <v>910</v>
      </c>
      <c r="D268" s="424"/>
      <c r="E268" s="455" t="s">
        <v>14</v>
      </c>
      <c r="F268" s="456">
        <v>3</v>
      </c>
      <c r="G268" s="456">
        <v>0</v>
      </c>
      <c r="H268" s="456">
        <f>F268*AO268</f>
        <v>0</v>
      </c>
      <c r="I268" s="456">
        <f>F268*AP268</f>
        <v>0</v>
      </c>
      <c r="J268" s="456">
        <f>F268*G268</f>
        <v>0</v>
      </c>
      <c r="K268" s="457" t="s">
        <v>648</v>
      </c>
      <c r="Z268" s="456">
        <f>IF(AQ268="5",BJ268,0)</f>
        <v>0</v>
      </c>
      <c r="AB268" s="456">
        <f>IF(AQ268="1",BH268,0)</f>
        <v>0</v>
      </c>
      <c r="AC268" s="456">
        <f>IF(AQ268="1",BI268,0)</f>
        <v>0</v>
      </c>
      <c r="AD268" s="456">
        <f>IF(AQ268="7",BH268,0)</f>
        <v>0</v>
      </c>
      <c r="AE268" s="456">
        <f>IF(AQ268="7",BI268,0)</f>
        <v>0</v>
      </c>
      <c r="AF268" s="456">
        <f>IF(AQ268="2",BH268,0)</f>
        <v>0</v>
      </c>
      <c r="AG268" s="456">
        <f>IF(AQ268="2",BI268,0)</f>
        <v>0</v>
      </c>
      <c r="AH268" s="456">
        <f>IF(AQ268="0",BJ268,0)</f>
        <v>0</v>
      </c>
      <c r="AI268" s="438" t="s">
        <v>648</v>
      </c>
      <c r="AJ268" s="456">
        <f>IF(AN268=0,J268,0)</f>
        <v>0</v>
      </c>
      <c r="AK268" s="456">
        <f>IF(AN268=12,J268,0)</f>
        <v>0</v>
      </c>
      <c r="AL268" s="456">
        <f>IF(AN268=21,J268,0)</f>
        <v>0</v>
      </c>
      <c r="AN268" s="456">
        <v>21</v>
      </c>
      <c r="AO268" s="456">
        <f>G268*1</f>
        <v>0</v>
      </c>
      <c r="AP268" s="456">
        <f>G268*(1-1)</f>
        <v>0</v>
      </c>
      <c r="AQ268" s="458" t="s">
        <v>651</v>
      </c>
      <c r="AV268" s="456">
        <f>AW268+AX268</f>
        <v>0</v>
      </c>
      <c r="AW268" s="456">
        <f>F268*AO268</f>
        <v>0</v>
      </c>
      <c r="AX268" s="456">
        <f>F268*AP268</f>
        <v>0</v>
      </c>
      <c r="AY268" s="458" t="s">
        <v>882</v>
      </c>
      <c r="AZ268" s="458" t="s">
        <v>883</v>
      </c>
      <c r="BA268" s="438" t="s">
        <v>656</v>
      </c>
      <c r="BC268" s="456">
        <f>AW268+AX268</f>
        <v>0</v>
      </c>
      <c r="BD268" s="456">
        <f>G268/(100-BE268)*100</f>
        <v>0</v>
      </c>
      <c r="BE268" s="456">
        <v>0</v>
      </c>
      <c r="BF268" s="456">
        <f>268</f>
        <v>268</v>
      </c>
      <c r="BH268" s="456">
        <f>F268*AO268</f>
        <v>0</v>
      </c>
      <c r="BI268" s="456">
        <f>F268*AP268</f>
        <v>0</v>
      </c>
      <c r="BJ268" s="456">
        <f>F268*G268</f>
        <v>0</v>
      </c>
      <c r="BK268" s="456"/>
      <c r="BL268" s="456">
        <v>85</v>
      </c>
      <c r="BW268" s="456">
        <v>21</v>
      </c>
      <c r="BX268" s="459" t="s">
        <v>910</v>
      </c>
    </row>
    <row r="269" spans="1:76" ht="13.5">
      <c r="A269" s="460"/>
      <c r="C269" s="461" t="s">
        <v>1383</v>
      </c>
      <c r="D269" s="461" t="s">
        <v>648</v>
      </c>
      <c r="F269" s="462">
        <v>3</v>
      </c>
      <c r="K269" s="463"/>
    </row>
    <row r="270" spans="1:76" ht="13.5">
      <c r="A270" s="454" t="s">
        <v>932</v>
      </c>
      <c r="B270" s="455" t="s">
        <v>912</v>
      </c>
      <c r="C270" s="428" t="s">
        <v>913</v>
      </c>
      <c r="D270" s="424"/>
      <c r="E270" s="455" t="s">
        <v>14</v>
      </c>
      <c r="F270" s="456">
        <v>2</v>
      </c>
      <c r="G270" s="456">
        <v>0</v>
      </c>
      <c r="H270" s="456">
        <f>F270*AO270</f>
        <v>0</v>
      </c>
      <c r="I270" s="456">
        <f>F270*AP270</f>
        <v>0</v>
      </c>
      <c r="J270" s="456">
        <f>F270*G270</f>
        <v>0</v>
      </c>
      <c r="K270" s="457" t="s">
        <v>648</v>
      </c>
      <c r="Z270" s="456">
        <f>IF(AQ270="5",BJ270,0)</f>
        <v>0</v>
      </c>
      <c r="AB270" s="456">
        <f>IF(AQ270="1",BH270,0)</f>
        <v>0</v>
      </c>
      <c r="AC270" s="456">
        <f>IF(AQ270="1",BI270,0)</f>
        <v>0</v>
      </c>
      <c r="AD270" s="456">
        <f>IF(AQ270="7",BH270,0)</f>
        <v>0</v>
      </c>
      <c r="AE270" s="456">
        <f>IF(AQ270="7",BI270,0)</f>
        <v>0</v>
      </c>
      <c r="AF270" s="456">
        <f>IF(AQ270="2",BH270,0)</f>
        <v>0</v>
      </c>
      <c r="AG270" s="456">
        <f>IF(AQ270="2",BI270,0)</f>
        <v>0</v>
      </c>
      <c r="AH270" s="456">
        <f>IF(AQ270="0",BJ270,0)</f>
        <v>0</v>
      </c>
      <c r="AI270" s="438" t="s">
        <v>648</v>
      </c>
      <c r="AJ270" s="456">
        <f>IF(AN270=0,J270,0)</f>
        <v>0</v>
      </c>
      <c r="AK270" s="456">
        <f>IF(AN270=12,J270,0)</f>
        <v>0</v>
      </c>
      <c r="AL270" s="456">
        <f>IF(AN270=21,J270,0)</f>
        <v>0</v>
      </c>
      <c r="AN270" s="456">
        <v>21</v>
      </c>
      <c r="AO270" s="456">
        <f>G270*1</f>
        <v>0</v>
      </c>
      <c r="AP270" s="456">
        <f>G270*(1-1)</f>
        <v>0</v>
      </c>
      <c r="AQ270" s="458" t="s">
        <v>651</v>
      </c>
      <c r="AV270" s="456">
        <f>AW270+AX270</f>
        <v>0</v>
      </c>
      <c r="AW270" s="456">
        <f>F270*AO270</f>
        <v>0</v>
      </c>
      <c r="AX270" s="456">
        <f>F270*AP270</f>
        <v>0</v>
      </c>
      <c r="AY270" s="458" t="s">
        <v>882</v>
      </c>
      <c r="AZ270" s="458" t="s">
        <v>883</v>
      </c>
      <c r="BA270" s="438" t="s">
        <v>656</v>
      </c>
      <c r="BC270" s="456">
        <f>AW270+AX270</f>
        <v>0</v>
      </c>
      <c r="BD270" s="456">
        <f>G270/(100-BE270)*100</f>
        <v>0</v>
      </c>
      <c r="BE270" s="456">
        <v>0</v>
      </c>
      <c r="BF270" s="456">
        <f>270</f>
        <v>270</v>
      </c>
      <c r="BH270" s="456">
        <f>F270*AO270</f>
        <v>0</v>
      </c>
      <c r="BI270" s="456">
        <f>F270*AP270</f>
        <v>0</v>
      </c>
      <c r="BJ270" s="456">
        <f>F270*G270</f>
        <v>0</v>
      </c>
      <c r="BK270" s="456"/>
      <c r="BL270" s="456">
        <v>85</v>
      </c>
      <c r="BW270" s="456">
        <v>21</v>
      </c>
      <c r="BX270" s="459" t="s">
        <v>913</v>
      </c>
    </row>
    <row r="271" spans="1:76" ht="13.5">
      <c r="A271" s="460"/>
      <c r="C271" s="461" t="s">
        <v>900</v>
      </c>
      <c r="D271" s="461" t="s">
        <v>648</v>
      </c>
      <c r="F271" s="462">
        <v>2</v>
      </c>
      <c r="K271" s="463"/>
    </row>
    <row r="272" spans="1:76" ht="13.5">
      <c r="A272" s="454" t="s">
        <v>936</v>
      </c>
      <c r="B272" s="455" t="s">
        <v>915</v>
      </c>
      <c r="C272" s="428" t="s">
        <v>916</v>
      </c>
      <c r="D272" s="424"/>
      <c r="E272" s="455" t="s">
        <v>14</v>
      </c>
      <c r="F272" s="456">
        <v>1</v>
      </c>
      <c r="G272" s="456">
        <v>0</v>
      </c>
      <c r="H272" s="456">
        <f>F272*AO272</f>
        <v>0</v>
      </c>
      <c r="I272" s="456">
        <f>F272*AP272</f>
        <v>0</v>
      </c>
      <c r="J272" s="456">
        <f>F272*G272</f>
        <v>0</v>
      </c>
      <c r="K272" s="457" t="s">
        <v>648</v>
      </c>
      <c r="Z272" s="456">
        <f>IF(AQ272="5",BJ272,0)</f>
        <v>0</v>
      </c>
      <c r="AB272" s="456">
        <f>IF(AQ272="1",BH272,0)</f>
        <v>0</v>
      </c>
      <c r="AC272" s="456">
        <f>IF(AQ272="1",BI272,0)</f>
        <v>0</v>
      </c>
      <c r="AD272" s="456">
        <f>IF(AQ272="7",BH272,0)</f>
        <v>0</v>
      </c>
      <c r="AE272" s="456">
        <f>IF(AQ272="7",BI272,0)</f>
        <v>0</v>
      </c>
      <c r="AF272" s="456">
        <f>IF(AQ272="2",BH272,0)</f>
        <v>0</v>
      </c>
      <c r="AG272" s="456">
        <f>IF(AQ272="2",BI272,0)</f>
        <v>0</v>
      </c>
      <c r="AH272" s="456">
        <f>IF(AQ272="0",BJ272,0)</f>
        <v>0</v>
      </c>
      <c r="AI272" s="438" t="s">
        <v>648</v>
      </c>
      <c r="AJ272" s="456">
        <f>IF(AN272=0,J272,0)</f>
        <v>0</v>
      </c>
      <c r="AK272" s="456">
        <f>IF(AN272=12,J272,0)</f>
        <v>0</v>
      </c>
      <c r="AL272" s="456">
        <f>IF(AN272=21,J272,0)</f>
        <v>0</v>
      </c>
      <c r="AN272" s="456">
        <v>21</v>
      </c>
      <c r="AO272" s="456">
        <f>G272*1</f>
        <v>0</v>
      </c>
      <c r="AP272" s="456">
        <f>G272*(1-1)</f>
        <v>0</v>
      </c>
      <c r="AQ272" s="458" t="s">
        <v>651</v>
      </c>
      <c r="AV272" s="456">
        <f>AW272+AX272</f>
        <v>0</v>
      </c>
      <c r="AW272" s="456">
        <f>F272*AO272</f>
        <v>0</v>
      </c>
      <c r="AX272" s="456">
        <f>F272*AP272</f>
        <v>0</v>
      </c>
      <c r="AY272" s="458" t="s">
        <v>882</v>
      </c>
      <c r="AZ272" s="458" t="s">
        <v>883</v>
      </c>
      <c r="BA272" s="438" t="s">
        <v>656</v>
      </c>
      <c r="BC272" s="456">
        <f>AW272+AX272</f>
        <v>0</v>
      </c>
      <c r="BD272" s="456">
        <f>G272/(100-BE272)*100</f>
        <v>0</v>
      </c>
      <c r="BE272" s="456">
        <v>0</v>
      </c>
      <c r="BF272" s="456">
        <f>272</f>
        <v>272</v>
      </c>
      <c r="BH272" s="456">
        <f>F272*AO272</f>
        <v>0</v>
      </c>
      <c r="BI272" s="456">
        <f>F272*AP272</f>
        <v>0</v>
      </c>
      <c r="BJ272" s="456">
        <f>F272*G272</f>
        <v>0</v>
      </c>
      <c r="BK272" s="456"/>
      <c r="BL272" s="456">
        <v>85</v>
      </c>
      <c r="BW272" s="456">
        <v>21</v>
      </c>
      <c r="BX272" s="459" t="s">
        <v>916</v>
      </c>
    </row>
    <row r="273" spans="1:76" ht="13.5">
      <c r="A273" s="460"/>
      <c r="C273" s="461" t="s">
        <v>917</v>
      </c>
      <c r="D273" s="461" t="s">
        <v>648</v>
      </c>
      <c r="F273" s="462">
        <v>1</v>
      </c>
      <c r="K273" s="463"/>
    </row>
    <row r="274" spans="1:76" ht="13.5">
      <c r="A274" s="454" t="s">
        <v>939</v>
      </c>
      <c r="B274" s="455" t="s">
        <v>919</v>
      </c>
      <c r="C274" s="428" t="s">
        <v>920</v>
      </c>
      <c r="D274" s="424"/>
      <c r="E274" s="455" t="s">
        <v>14</v>
      </c>
      <c r="F274" s="456">
        <v>1</v>
      </c>
      <c r="G274" s="456">
        <v>0</v>
      </c>
      <c r="H274" s="456">
        <f>F274*AO274</f>
        <v>0</v>
      </c>
      <c r="I274" s="456">
        <f>F274*AP274</f>
        <v>0</v>
      </c>
      <c r="J274" s="456">
        <f>F274*G274</f>
        <v>0</v>
      </c>
      <c r="K274" s="457" t="s">
        <v>648</v>
      </c>
      <c r="Z274" s="456">
        <f>IF(AQ274="5",BJ274,0)</f>
        <v>0</v>
      </c>
      <c r="AB274" s="456">
        <f>IF(AQ274="1",BH274,0)</f>
        <v>0</v>
      </c>
      <c r="AC274" s="456">
        <f>IF(AQ274="1",BI274,0)</f>
        <v>0</v>
      </c>
      <c r="AD274" s="456">
        <f>IF(AQ274="7",BH274,0)</f>
        <v>0</v>
      </c>
      <c r="AE274" s="456">
        <f>IF(AQ274="7",BI274,0)</f>
        <v>0</v>
      </c>
      <c r="AF274" s="456">
        <f>IF(AQ274="2",BH274,0)</f>
        <v>0</v>
      </c>
      <c r="AG274" s="456">
        <f>IF(AQ274="2",BI274,0)</f>
        <v>0</v>
      </c>
      <c r="AH274" s="456">
        <f>IF(AQ274="0",BJ274,0)</f>
        <v>0</v>
      </c>
      <c r="AI274" s="438" t="s">
        <v>648</v>
      </c>
      <c r="AJ274" s="456">
        <f>IF(AN274=0,J274,0)</f>
        <v>0</v>
      </c>
      <c r="AK274" s="456">
        <f>IF(AN274=12,J274,0)</f>
        <v>0</v>
      </c>
      <c r="AL274" s="456">
        <f>IF(AN274=21,J274,0)</f>
        <v>0</v>
      </c>
      <c r="AN274" s="456">
        <v>21</v>
      </c>
      <c r="AO274" s="456">
        <f>G274*1</f>
        <v>0</v>
      </c>
      <c r="AP274" s="456">
        <f>G274*(1-1)</f>
        <v>0</v>
      </c>
      <c r="AQ274" s="458" t="s">
        <v>651</v>
      </c>
      <c r="AV274" s="456">
        <f>AW274+AX274</f>
        <v>0</v>
      </c>
      <c r="AW274" s="456">
        <f>F274*AO274</f>
        <v>0</v>
      </c>
      <c r="AX274" s="456">
        <f>F274*AP274</f>
        <v>0</v>
      </c>
      <c r="AY274" s="458" t="s">
        <v>882</v>
      </c>
      <c r="AZ274" s="458" t="s">
        <v>883</v>
      </c>
      <c r="BA274" s="438" t="s">
        <v>656</v>
      </c>
      <c r="BC274" s="456">
        <f>AW274+AX274</f>
        <v>0</v>
      </c>
      <c r="BD274" s="456">
        <f>G274/(100-BE274)*100</f>
        <v>0</v>
      </c>
      <c r="BE274" s="456">
        <v>0</v>
      </c>
      <c r="BF274" s="456">
        <f>274</f>
        <v>274</v>
      </c>
      <c r="BH274" s="456">
        <f>F274*AO274</f>
        <v>0</v>
      </c>
      <c r="BI274" s="456">
        <f>F274*AP274</f>
        <v>0</v>
      </c>
      <c r="BJ274" s="456">
        <f>F274*G274</f>
        <v>0</v>
      </c>
      <c r="BK274" s="456"/>
      <c r="BL274" s="456">
        <v>85</v>
      </c>
      <c r="BW274" s="456">
        <v>21</v>
      </c>
      <c r="BX274" s="459" t="s">
        <v>920</v>
      </c>
    </row>
    <row r="275" spans="1:76" ht="13.5">
      <c r="A275" s="460"/>
      <c r="C275" s="461" t="s">
        <v>917</v>
      </c>
      <c r="D275" s="461" t="s">
        <v>648</v>
      </c>
      <c r="F275" s="462">
        <v>1</v>
      </c>
      <c r="K275" s="463"/>
    </row>
    <row r="276" spans="1:76" ht="13.5">
      <c r="A276" s="454" t="s">
        <v>942</v>
      </c>
      <c r="B276" s="455" t="s">
        <v>922</v>
      </c>
      <c r="C276" s="428" t="s">
        <v>923</v>
      </c>
      <c r="D276" s="424"/>
      <c r="E276" s="455" t="s">
        <v>14</v>
      </c>
      <c r="F276" s="456">
        <v>1</v>
      </c>
      <c r="G276" s="456">
        <v>0</v>
      </c>
      <c r="H276" s="456">
        <f>F276*AO276</f>
        <v>0</v>
      </c>
      <c r="I276" s="456">
        <f>F276*AP276</f>
        <v>0</v>
      </c>
      <c r="J276" s="456">
        <f>F276*G276</f>
        <v>0</v>
      </c>
      <c r="K276" s="457" t="s">
        <v>648</v>
      </c>
      <c r="Z276" s="456">
        <f>IF(AQ276="5",BJ276,0)</f>
        <v>0</v>
      </c>
      <c r="AB276" s="456">
        <f>IF(AQ276="1",BH276,0)</f>
        <v>0</v>
      </c>
      <c r="AC276" s="456">
        <f>IF(AQ276="1",BI276,0)</f>
        <v>0</v>
      </c>
      <c r="AD276" s="456">
        <f>IF(AQ276="7",BH276,0)</f>
        <v>0</v>
      </c>
      <c r="AE276" s="456">
        <f>IF(AQ276="7",BI276,0)</f>
        <v>0</v>
      </c>
      <c r="AF276" s="456">
        <f>IF(AQ276="2",BH276,0)</f>
        <v>0</v>
      </c>
      <c r="AG276" s="456">
        <f>IF(AQ276="2",BI276,0)</f>
        <v>0</v>
      </c>
      <c r="AH276" s="456">
        <f>IF(AQ276="0",BJ276,0)</f>
        <v>0</v>
      </c>
      <c r="AI276" s="438" t="s">
        <v>648</v>
      </c>
      <c r="AJ276" s="456">
        <f>IF(AN276=0,J276,0)</f>
        <v>0</v>
      </c>
      <c r="AK276" s="456">
        <f>IF(AN276=12,J276,0)</f>
        <v>0</v>
      </c>
      <c r="AL276" s="456">
        <f>IF(AN276=21,J276,0)</f>
        <v>0</v>
      </c>
      <c r="AN276" s="456">
        <v>21</v>
      </c>
      <c r="AO276" s="456">
        <f>G276*1</f>
        <v>0</v>
      </c>
      <c r="AP276" s="456">
        <f>G276*(1-1)</f>
        <v>0</v>
      </c>
      <c r="AQ276" s="458" t="s">
        <v>651</v>
      </c>
      <c r="AV276" s="456">
        <f>AW276+AX276</f>
        <v>0</v>
      </c>
      <c r="AW276" s="456">
        <f>F276*AO276</f>
        <v>0</v>
      </c>
      <c r="AX276" s="456">
        <f>F276*AP276</f>
        <v>0</v>
      </c>
      <c r="AY276" s="458" t="s">
        <v>882</v>
      </c>
      <c r="AZ276" s="458" t="s">
        <v>883</v>
      </c>
      <c r="BA276" s="438" t="s">
        <v>656</v>
      </c>
      <c r="BC276" s="456">
        <f>AW276+AX276</f>
        <v>0</v>
      </c>
      <c r="BD276" s="456">
        <f>G276/(100-BE276)*100</f>
        <v>0</v>
      </c>
      <c r="BE276" s="456">
        <v>0</v>
      </c>
      <c r="BF276" s="456">
        <f>276</f>
        <v>276</v>
      </c>
      <c r="BH276" s="456">
        <f>F276*AO276</f>
        <v>0</v>
      </c>
      <c r="BI276" s="456">
        <f>F276*AP276</f>
        <v>0</v>
      </c>
      <c r="BJ276" s="456">
        <f>F276*G276</f>
        <v>0</v>
      </c>
      <c r="BK276" s="456"/>
      <c r="BL276" s="456">
        <v>85</v>
      </c>
      <c r="BW276" s="456">
        <v>21</v>
      </c>
      <c r="BX276" s="459" t="s">
        <v>923</v>
      </c>
    </row>
    <row r="277" spans="1:76" ht="13.5">
      <c r="A277" s="460"/>
      <c r="C277" s="461" t="s">
        <v>917</v>
      </c>
      <c r="D277" s="461" t="s">
        <v>648</v>
      </c>
      <c r="F277" s="462">
        <v>1</v>
      </c>
      <c r="K277" s="463"/>
    </row>
    <row r="278" spans="1:76" ht="13.5">
      <c r="A278" s="454" t="s">
        <v>945</v>
      </c>
      <c r="B278" s="455" t="s">
        <v>925</v>
      </c>
      <c r="C278" s="428" t="s">
        <v>926</v>
      </c>
      <c r="D278" s="424"/>
      <c r="E278" s="455" t="s">
        <v>14</v>
      </c>
      <c r="F278" s="456">
        <v>3</v>
      </c>
      <c r="G278" s="456">
        <v>0</v>
      </c>
      <c r="H278" s="456">
        <f>F278*AO278</f>
        <v>0</v>
      </c>
      <c r="I278" s="456">
        <f>F278*AP278</f>
        <v>0</v>
      </c>
      <c r="J278" s="456">
        <f>F278*G278</f>
        <v>0</v>
      </c>
      <c r="K278" s="457" t="s">
        <v>1410</v>
      </c>
      <c r="Z278" s="456">
        <f>IF(AQ278="5",BJ278,0)</f>
        <v>0</v>
      </c>
      <c r="AB278" s="456">
        <f>IF(AQ278="1",BH278,0)</f>
        <v>0</v>
      </c>
      <c r="AC278" s="456">
        <f>IF(AQ278="1",BI278,0)</f>
        <v>0</v>
      </c>
      <c r="AD278" s="456">
        <f>IF(AQ278="7",BH278,0)</f>
        <v>0</v>
      </c>
      <c r="AE278" s="456">
        <f>IF(AQ278="7",BI278,0)</f>
        <v>0</v>
      </c>
      <c r="AF278" s="456">
        <f>IF(AQ278="2",BH278,0)</f>
        <v>0</v>
      </c>
      <c r="AG278" s="456">
        <f>IF(AQ278="2",BI278,0)</f>
        <v>0</v>
      </c>
      <c r="AH278" s="456">
        <f>IF(AQ278="0",BJ278,0)</f>
        <v>0</v>
      </c>
      <c r="AI278" s="438" t="s">
        <v>648</v>
      </c>
      <c r="AJ278" s="456">
        <f>IF(AN278=0,J278,0)</f>
        <v>0</v>
      </c>
      <c r="AK278" s="456">
        <f>IF(AN278=12,J278,0)</f>
        <v>0</v>
      </c>
      <c r="AL278" s="456">
        <f>IF(AN278=21,J278,0)</f>
        <v>0</v>
      </c>
      <c r="AN278" s="456">
        <v>21</v>
      </c>
      <c r="AO278" s="456">
        <f>G278*0.000032822</f>
        <v>0</v>
      </c>
      <c r="AP278" s="456">
        <f>G278*(1-0.000032822)</f>
        <v>0</v>
      </c>
      <c r="AQ278" s="458" t="s">
        <v>651</v>
      </c>
      <c r="AV278" s="456">
        <f>AW278+AX278</f>
        <v>0</v>
      </c>
      <c r="AW278" s="456">
        <f>F278*AO278</f>
        <v>0</v>
      </c>
      <c r="AX278" s="456">
        <f>F278*AP278</f>
        <v>0</v>
      </c>
      <c r="AY278" s="458" t="s">
        <v>882</v>
      </c>
      <c r="AZ278" s="458" t="s">
        <v>883</v>
      </c>
      <c r="BA278" s="438" t="s">
        <v>656</v>
      </c>
      <c r="BC278" s="456">
        <f>AW278+AX278</f>
        <v>0</v>
      </c>
      <c r="BD278" s="456">
        <f>G278/(100-BE278)*100</f>
        <v>0</v>
      </c>
      <c r="BE278" s="456">
        <v>0</v>
      </c>
      <c r="BF278" s="456">
        <f>278</f>
        <v>278</v>
      </c>
      <c r="BH278" s="456">
        <f>F278*AO278</f>
        <v>0</v>
      </c>
      <c r="BI278" s="456">
        <f>F278*AP278</f>
        <v>0</v>
      </c>
      <c r="BJ278" s="456">
        <f>F278*G278</f>
        <v>0</v>
      </c>
      <c r="BK278" s="456"/>
      <c r="BL278" s="456">
        <v>85</v>
      </c>
      <c r="BW278" s="456">
        <v>21</v>
      </c>
      <c r="BX278" s="459" t="s">
        <v>926</v>
      </c>
    </row>
    <row r="279" spans="1:76" ht="13.5">
      <c r="A279" s="460"/>
      <c r="C279" s="461" t="s">
        <v>1385</v>
      </c>
      <c r="D279" s="461" t="s">
        <v>648</v>
      </c>
      <c r="F279" s="462">
        <v>3</v>
      </c>
      <c r="K279" s="463"/>
    </row>
    <row r="280" spans="1:76" ht="13.5">
      <c r="A280" s="454" t="s">
        <v>948</v>
      </c>
      <c r="B280" s="455" t="s">
        <v>928</v>
      </c>
      <c r="C280" s="428" t="s">
        <v>929</v>
      </c>
      <c r="D280" s="424"/>
      <c r="E280" s="455" t="s">
        <v>14</v>
      </c>
      <c r="F280" s="456">
        <v>3</v>
      </c>
      <c r="G280" s="456">
        <v>0</v>
      </c>
      <c r="H280" s="456">
        <f>F280*AO280</f>
        <v>0</v>
      </c>
      <c r="I280" s="456">
        <f>F280*AP280</f>
        <v>0</v>
      </c>
      <c r="J280" s="456">
        <f>F280*G280</f>
        <v>0</v>
      </c>
      <c r="K280" s="457" t="s">
        <v>648</v>
      </c>
      <c r="Z280" s="456">
        <f>IF(AQ280="5",BJ280,0)</f>
        <v>0</v>
      </c>
      <c r="AB280" s="456">
        <f>IF(AQ280="1",BH280,0)</f>
        <v>0</v>
      </c>
      <c r="AC280" s="456">
        <f>IF(AQ280="1",BI280,0)</f>
        <v>0</v>
      </c>
      <c r="AD280" s="456">
        <f>IF(AQ280="7",BH280,0)</f>
        <v>0</v>
      </c>
      <c r="AE280" s="456">
        <f>IF(AQ280="7",BI280,0)</f>
        <v>0</v>
      </c>
      <c r="AF280" s="456">
        <f>IF(AQ280="2",BH280,0)</f>
        <v>0</v>
      </c>
      <c r="AG280" s="456">
        <f>IF(AQ280="2",BI280,0)</f>
        <v>0</v>
      </c>
      <c r="AH280" s="456">
        <f>IF(AQ280="0",BJ280,0)</f>
        <v>0</v>
      </c>
      <c r="AI280" s="438" t="s">
        <v>648</v>
      </c>
      <c r="AJ280" s="456">
        <f>IF(AN280=0,J280,0)</f>
        <v>0</v>
      </c>
      <c r="AK280" s="456">
        <f>IF(AN280=12,J280,0)</f>
        <v>0</v>
      </c>
      <c r="AL280" s="456">
        <f>IF(AN280=21,J280,0)</f>
        <v>0</v>
      </c>
      <c r="AN280" s="456">
        <v>21</v>
      </c>
      <c r="AO280" s="456">
        <f>G280*1</f>
        <v>0</v>
      </c>
      <c r="AP280" s="456">
        <f>G280*(1-1)</f>
        <v>0</v>
      </c>
      <c r="AQ280" s="458" t="s">
        <v>651</v>
      </c>
      <c r="AV280" s="456">
        <f>AW280+AX280</f>
        <v>0</v>
      </c>
      <c r="AW280" s="456">
        <f>F280*AO280</f>
        <v>0</v>
      </c>
      <c r="AX280" s="456">
        <f>F280*AP280</f>
        <v>0</v>
      </c>
      <c r="AY280" s="458" t="s">
        <v>882</v>
      </c>
      <c r="AZ280" s="458" t="s">
        <v>883</v>
      </c>
      <c r="BA280" s="438" t="s">
        <v>656</v>
      </c>
      <c r="BC280" s="456">
        <f>AW280+AX280</f>
        <v>0</v>
      </c>
      <c r="BD280" s="456">
        <f>G280/(100-BE280)*100</f>
        <v>0</v>
      </c>
      <c r="BE280" s="456">
        <v>0</v>
      </c>
      <c r="BF280" s="456">
        <f>280</f>
        <v>280</v>
      </c>
      <c r="BH280" s="456">
        <f>F280*AO280</f>
        <v>0</v>
      </c>
      <c r="BI280" s="456">
        <f>F280*AP280</f>
        <v>0</v>
      </c>
      <c r="BJ280" s="456">
        <f>F280*G280</f>
        <v>0</v>
      </c>
      <c r="BK280" s="456"/>
      <c r="BL280" s="456">
        <v>85</v>
      </c>
      <c r="BW280" s="456">
        <v>21</v>
      </c>
      <c r="BX280" s="459" t="s">
        <v>929</v>
      </c>
    </row>
    <row r="281" spans="1:76" ht="13.5">
      <c r="A281" s="460"/>
      <c r="C281" s="461" t="s">
        <v>1383</v>
      </c>
      <c r="D281" s="461" t="s">
        <v>648</v>
      </c>
      <c r="F281" s="462">
        <v>3</v>
      </c>
      <c r="K281" s="463"/>
    </row>
    <row r="282" spans="1:76" ht="13.5">
      <c r="A282" s="448" t="s">
        <v>648</v>
      </c>
      <c r="B282" s="449" t="s">
        <v>930</v>
      </c>
      <c r="C282" s="450" t="s">
        <v>931</v>
      </c>
      <c r="D282" s="451"/>
      <c r="E282" s="452" t="s">
        <v>607</v>
      </c>
      <c r="F282" s="452" t="s">
        <v>607</v>
      </c>
      <c r="G282" s="452" t="s">
        <v>607</v>
      </c>
      <c r="H282" s="416">
        <f>SUM(H283:H318)</f>
        <v>0</v>
      </c>
      <c r="I282" s="416">
        <f>SUM(I283:I318)</f>
        <v>0</v>
      </c>
      <c r="J282" s="416">
        <f>SUM(J283:J318)</f>
        <v>0</v>
      </c>
      <c r="K282" s="453" t="s">
        <v>648</v>
      </c>
      <c r="AI282" s="438" t="s">
        <v>648</v>
      </c>
      <c r="AS282" s="416">
        <f>SUM(AJ283:AJ318)</f>
        <v>0</v>
      </c>
      <c r="AT282" s="416">
        <f>SUM(AK283:AK318)</f>
        <v>0</v>
      </c>
      <c r="AU282" s="416">
        <f>SUM(AL283:AL318)</f>
        <v>0</v>
      </c>
    </row>
    <row r="283" spans="1:76" ht="13.5">
      <c r="A283" s="454" t="s">
        <v>951</v>
      </c>
      <c r="B283" s="455" t="s">
        <v>933</v>
      </c>
      <c r="C283" s="428" t="s">
        <v>934</v>
      </c>
      <c r="D283" s="424"/>
      <c r="E283" s="455" t="s">
        <v>7</v>
      </c>
      <c r="F283" s="456">
        <v>982.08</v>
      </c>
      <c r="G283" s="456">
        <v>0</v>
      </c>
      <c r="H283" s="456">
        <f>F283*AO283</f>
        <v>0</v>
      </c>
      <c r="I283" s="456">
        <f>F283*AP283</f>
        <v>0</v>
      </c>
      <c r="J283" s="456">
        <f>F283*G283</f>
        <v>0</v>
      </c>
      <c r="K283" s="457" t="s">
        <v>1410</v>
      </c>
      <c r="Z283" s="456">
        <f>IF(AQ283="5",BJ283,0)</f>
        <v>0</v>
      </c>
      <c r="AB283" s="456">
        <f>IF(AQ283="1",BH283,0)</f>
        <v>0</v>
      </c>
      <c r="AC283" s="456">
        <f>IF(AQ283="1",BI283,0)</f>
        <v>0</v>
      </c>
      <c r="AD283" s="456">
        <f>IF(AQ283="7",BH283,0)</f>
        <v>0</v>
      </c>
      <c r="AE283" s="456">
        <f>IF(AQ283="7",BI283,0)</f>
        <v>0</v>
      </c>
      <c r="AF283" s="456">
        <f>IF(AQ283="2",BH283,0)</f>
        <v>0</v>
      </c>
      <c r="AG283" s="456">
        <f>IF(AQ283="2",BI283,0)</f>
        <v>0</v>
      </c>
      <c r="AH283" s="456">
        <f>IF(AQ283="0",BJ283,0)</f>
        <v>0</v>
      </c>
      <c r="AI283" s="438" t="s">
        <v>648</v>
      </c>
      <c r="AJ283" s="456">
        <f>IF(AN283=0,J283,0)</f>
        <v>0</v>
      </c>
      <c r="AK283" s="456">
        <f>IF(AN283=12,J283,0)</f>
        <v>0</v>
      </c>
      <c r="AL283" s="456">
        <f>IF(AN283=21,J283,0)</f>
        <v>0</v>
      </c>
      <c r="AN283" s="456">
        <v>21</v>
      </c>
      <c r="AO283" s="456">
        <f>G283*0</f>
        <v>0</v>
      </c>
      <c r="AP283" s="456">
        <f>G283*(1-0)</f>
        <v>0</v>
      </c>
      <c r="AQ283" s="458" t="s">
        <v>651</v>
      </c>
      <c r="AV283" s="456">
        <f>AW283+AX283</f>
        <v>0</v>
      </c>
      <c r="AW283" s="456">
        <f>F283*AO283</f>
        <v>0</v>
      </c>
      <c r="AX283" s="456">
        <f>F283*AP283</f>
        <v>0</v>
      </c>
      <c r="AY283" s="458" t="s">
        <v>935</v>
      </c>
      <c r="AZ283" s="458" t="s">
        <v>883</v>
      </c>
      <c r="BA283" s="438" t="s">
        <v>656</v>
      </c>
      <c r="BC283" s="456">
        <f>AW283+AX283</f>
        <v>0</v>
      </c>
      <c r="BD283" s="456">
        <f>G283/(100-BE283)*100</f>
        <v>0</v>
      </c>
      <c r="BE283" s="456">
        <v>0</v>
      </c>
      <c r="BF283" s="456">
        <f>283</f>
        <v>283</v>
      </c>
      <c r="BH283" s="456">
        <f>F283*AO283</f>
        <v>0</v>
      </c>
      <c r="BI283" s="456">
        <f>F283*AP283</f>
        <v>0</v>
      </c>
      <c r="BJ283" s="456">
        <f>F283*G283</f>
        <v>0</v>
      </c>
      <c r="BK283" s="456"/>
      <c r="BL283" s="456">
        <v>87</v>
      </c>
      <c r="BW283" s="456">
        <v>21</v>
      </c>
      <c r="BX283" s="459" t="s">
        <v>934</v>
      </c>
    </row>
    <row r="284" spans="1:76" ht="13.5">
      <c r="A284" s="460"/>
      <c r="C284" s="461" t="s">
        <v>703</v>
      </c>
      <c r="D284" s="461" t="s">
        <v>648</v>
      </c>
      <c r="F284" s="462">
        <v>261.2</v>
      </c>
      <c r="K284" s="463"/>
    </row>
    <row r="285" spans="1:76" ht="13.5">
      <c r="A285" s="460"/>
      <c r="C285" s="461" t="s">
        <v>1342</v>
      </c>
      <c r="D285" s="461" t="s">
        <v>648</v>
      </c>
      <c r="F285" s="462">
        <v>33</v>
      </c>
      <c r="K285" s="463"/>
    </row>
    <row r="286" spans="1:76" ht="13.5">
      <c r="A286" s="460"/>
      <c r="C286" s="461" t="s">
        <v>1343</v>
      </c>
      <c r="D286" s="461" t="s">
        <v>648</v>
      </c>
      <c r="F286" s="462">
        <v>72.95</v>
      </c>
      <c r="K286" s="463"/>
    </row>
    <row r="287" spans="1:76" ht="13.5">
      <c r="A287" s="460"/>
      <c r="C287" s="461" t="s">
        <v>1344</v>
      </c>
      <c r="D287" s="461" t="s">
        <v>648</v>
      </c>
      <c r="F287" s="462">
        <v>41.75</v>
      </c>
      <c r="K287" s="463"/>
    </row>
    <row r="288" spans="1:76" ht="13.5">
      <c r="A288" s="460"/>
      <c r="C288" s="461" t="s">
        <v>1345</v>
      </c>
      <c r="D288" s="461" t="s">
        <v>648</v>
      </c>
      <c r="F288" s="462">
        <v>573.17999999999995</v>
      </c>
      <c r="K288" s="463"/>
    </row>
    <row r="289" spans="1:76" ht="13.5">
      <c r="A289" s="454" t="s">
        <v>954</v>
      </c>
      <c r="B289" s="455" t="s">
        <v>937</v>
      </c>
      <c r="C289" s="428" t="s">
        <v>938</v>
      </c>
      <c r="D289" s="424"/>
      <c r="E289" s="455" t="s">
        <v>7</v>
      </c>
      <c r="F289" s="456">
        <v>721.58</v>
      </c>
      <c r="G289" s="456">
        <v>0</v>
      </c>
      <c r="H289" s="456">
        <f>F289*AO289</f>
        <v>0</v>
      </c>
      <c r="I289" s="456">
        <f>F289*AP289</f>
        <v>0</v>
      </c>
      <c r="J289" s="456">
        <f>F289*G289</f>
        <v>0</v>
      </c>
      <c r="K289" s="457" t="s">
        <v>1410</v>
      </c>
      <c r="Z289" s="456">
        <f>IF(AQ289="5",BJ289,0)</f>
        <v>0</v>
      </c>
      <c r="AB289" s="456">
        <f>IF(AQ289="1",BH289,0)</f>
        <v>0</v>
      </c>
      <c r="AC289" s="456">
        <f>IF(AQ289="1",BI289,0)</f>
        <v>0</v>
      </c>
      <c r="AD289" s="456">
        <f>IF(AQ289="7",BH289,0)</f>
        <v>0</v>
      </c>
      <c r="AE289" s="456">
        <f>IF(AQ289="7",BI289,0)</f>
        <v>0</v>
      </c>
      <c r="AF289" s="456">
        <f>IF(AQ289="2",BH289,0)</f>
        <v>0</v>
      </c>
      <c r="AG289" s="456">
        <f>IF(AQ289="2",BI289,0)</f>
        <v>0</v>
      </c>
      <c r="AH289" s="456">
        <f>IF(AQ289="0",BJ289,0)</f>
        <v>0</v>
      </c>
      <c r="AI289" s="438" t="s">
        <v>648</v>
      </c>
      <c r="AJ289" s="456">
        <f>IF(AN289=0,J289,0)</f>
        <v>0</v>
      </c>
      <c r="AK289" s="456">
        <f>IF(AN289=12,J289,0)</f>
        <v>0</v>
      </c>
      <c r="AL289" s="456">
        <f>IF(AN289=21,J289,0)</f>
        <v>0</v>
      </c>
      <c r="AN289" s="456">
        <v>21</v>
      </c>
      <c r="AO289" s="456">
        <f>G289*0</f>
        <v>0</v>
      </c>
      <c r="AP289" s="456">
        <f>G289*(1-0)</f>
        <v>0</v>
      </c>
      <c r="AQ289" s="458" t="s">
        <v>651</v>
      </c>
      <c r="AV289" s="456">
        <f>AW289+AX289</f>
        <v>0</v>
      </c>
      <c r="AW289" s="456">
        <f>F289*AO289</f>
        <v>0</v>
      </c>
      <c r="AX289" s="456">
        <f>F289*AP289</f>
        <v>0</v>
      </c>
      <c r="AY289" s="458" t="s">
        <v>935</v>
      </c>
      <c r="AZ289" s="458" t="s">
        <v>883</v>
      </c>
      <c r="BA289" s="438" t="s">
        <v>656</v>
      </c>
      <c r="BC289" s="456">
        <f>AW289+AX289</f>
        <v>0</v>
      </c>
      <c r="BD289" s="456">
        <f>G289/(100-BE289)*100</f>
        <v>0</v>
      </c>
      <c r="BE289" s="456">
        <v>0</v>
      </c>
      <c r="BF289" s="456">
        <f>289</f>
        <v>289</v>
      </c>
      <c r="BH289" s="456">
        <f>F289*AO289</f>
        <v>0</v>
      </c>
      <c r="BI289" s="456">
        <f>F289*AP289</f>
        <v>0</v>
      </c>
      <c r="BJ289" s="456">
        <f>F289*G289</f>
        <v>0</v>
      </c>
      <c r="BK289" s="456"/>
      <c r="BL289" s="456">
        <v>87</v>
      </c>
      <c r="BW289" s="456">
        <v>21</v>
      </c>
      <c r="BX289" s="459" t="s">
        <v>938</v>
      </c>
    </row>
    <row r="290" spans="1:76" ht="13.5">
      <c r="A290" s="460"/>
      <c r="C290" s="461" t="s">
        <v>1386</v>
      </c>
      <c r="D290" s="461" t="s">
        <v>648</v>
      </c>
      <c r="F290" s="462">
        <v>721.58</v>
      </c>
      <c r="K290" s="463"/>
    </row>
    <row r="291" spans="1:76" ht="13.5">
      <c r="A291" s="454" t="s">
        <v>958</v>
      </c>
      <c r="B291" s="455" t="s">
        <v>940</v>
      </c>
      <c r="C291" s="428" t="s">
        <v>941</v>
      </c>
      <c r="D291" s="424"/>
      <c r="E291" s="455" t="s">
        <v>7</v>
      </c>
      <c r="F291" s="456">
        <v>757.65899999999999</v>
      </c>
      <c r="G291" s="456">
        <v>0</v>
      </c>
      <c r="H291" s="456">
        <f>F291*AO291</f>
        <v>0</v>
      </c>
      <c r="I291" s="456">
        <f>F291*AP291</f>
        <v>0</v>
      </c>
      <c r="J291" s="456">
        <f>F291*G291</f>
        <v>0</v>
      </c>
      <c r="K291" s="457" t="s">
        <v>1410</v>
      </c>
      <c r="Z291" s="456">
        <f>IF(AQ291="5",BJ291,0)</f>
        <v>0</v>
      </c>
      <c r="AB291" s="456">
        <f>IF(AQ291="1",BH291,0)</f>
        <v>0</v>
      </c>
      <c r="AC291" s="456">
        <f>IF(AQ291="1",BI291,0)</f>
        <v>0</v>
      </c>
      <c r="AD291" s="456">
        <f>IF(AQ291="7",BH291,0)</f>
        <v>0</v>
      </c>
      <c r="AE291" s="456">
        <f>IF(AQ291="7",BI291,0)</f>
        <v>0</v>
      </c>
      <c r="AF291" s="456">
        <f>IF(AQ291="2",BH291,0)</f>
        <v>0</v>
      </c>
      <c r="AG291" s="456">
        <f>IF(AQ291="2",BI291,0)</f>
        <v>0</v>
      </c>
      <c r="AH291" s="456">
        <f>IF(AQ291="0",BJ291,0)</f>
        <v>0</v>
      </c>
      <c r="AI291" s="438" t="s">
        <v>648</v>
      </c>
      <c r="AJ291" s="456">
        <f>IF(AN291=0,J291,0)</f>
        <v>0</v>
      </c>
      <c r="AK291" s="456">
        <f>IF(AN291=12,J291,0)</f>
        <v>0</v>
      </c>
      <c r="AL291" s="456">
        <f>IF(AN291=21,J291,0)</f>
        <v>0</v>
      </c>
      <c r="AN291" s="456">
        <v>21</v>
      </c>
      <c r="AO291" s="456">
        <f>G291*1</f>
        <v>0</v>
      </c>
      <c r="AP291" s="456">
        <f>G291*(1-1)</f>
        <v>0</v>
      </c>
      <c r="AQ291" s="458" t="s">
        <v>651</v>
      </c>
      <c r="AV291" s="456">
        <f>AW291+AX291</f>
        <v>0</v>
      </c>
      <c r="AW291" s="456">
        <f>F291*AO291</f>
        <v>0</v>
      </c>
      <c r="AX291" s="456">
        <f>F291*AP291</f>
        <v>0</v>
      </c>
      <c r="AY291" s="458" t="s">
        <v>935</v>
      </c>
      <c r="AZ291" s="458" t="s">
        <v>883</v>
      </c>
      <c r="BA291" s="438" t="s">
        <v>656</v>
      </c>
      <c r="BC291" s="456">
        <f>AW291+AX291</f>
        <v>0</v>
      </c>
      <c r="BD291" s="456">
        <f>G291/(100-BE291)*100</f>
        <v>0</v>
      </c>
      <c r="BE291" s="456">
        <v>0</v>
      </c>
      <c r="BF291" s="456">
        <f>291</f>
        <v>291</v>
      </c>
      <c r="BH291" s="456">
        <f>F291*AO291</f>
        <v>0</v>
      </c>
      <c r="BI291" s="456">
        <f>F291*AP291</f>
        <v>0</v>
      </c>
      <c r="BJ291" s="456">
        <f>F291*G291</f>
        <v>0</v>
      </c>
      <c r="BK291" s="456"/>
      <c r="BL291" s="456">
        <v>87</v>
      </c>
      <c r="BW291" s="456">
        <v>21</v>
      </c>
      <c r="BX291" s="459" t="s">
        <v>941</v>
      </c>
    </row>
    <row r="292" spans="1:76" ht="13.5">
      <c r="A292" s="460"/>
      <c r="C292" s="461" t="s">
        <v>1387</v>
      </c>
      <c r="D292" s="461" t="s">
        <v>648</v>
      </c>
      <c r="F292" s="462">
        <v>757.65899999999999</v>
      </c>
      <c r="K292" s="463"/>
    </row>
    <row r="293" spans="1:76" ht="13.5">
      <c r="A293" s="460"/>
      <c r="C293" s="461" t="s">
        <v>863</v>
      </c>
      <c r="D293" s="461" t="s">
        <v>648</v>
      </c>
      <c r="F293" s="462">
        <v>0</v>
      </c>
      <c r="K293" s="463"/>
    </row>
    <row r="294" spans="1:76" ht="13.5">
      <c r="A294" s="454" t="s">
        <v>961</v>
      </c>
      <c r="B294" s="455" t="s">
        <v>943</v>
      </c>
      <c r="C294" s="428" t="s">
        <v>944</v>
      </c>
      <c r="D294" s="424"/>
      <c r="E294" s="455" t="s">
        <v>7</v>
      </c>
      <c r="F294" s="456">
        <v>573.17999999999995</v>
      </c>
      <c r="G294" s="456">
        <v>0</v>
      </c>
      <c r="H294" s="456">
        <f>F294*AO294</f>
        <v>0</v>
      </c>
      <c r="I294" s="456">
        <f>F294*AP294</f>
        <v>0</v>
      </c>
      <c r="J294" s="456">
        <f>F294*G294</f>
        <v>0</v>
      </c>
      <c r="K294" s="457" t="s">
        <v>1410</v>
      </c>
      <c r="Z294" s="456">
        <f>IF(AQ294="5",BJ294,0)</f>
        <v>0</v>
      </c>
      <c r="AB294" s="456">
        <f>IF(AQ294="1",BH294,0)</f>
        <v>0</v>
      </c>
      <c r="AC294" s="456">
        <f>IF(AQ294="1",BI294,0)</f>
        <v>0</v>
      </c>
      <c r="AD294" s="456">
        <f>IF(AQ294="7",BH294,0)</f>
        <v>0</v>
      </c>
      <c r="AE294" s="456">
        <f>IF(AQ294="7",BI294,0)</f>
        <v>0</v>
      </c>
      <c r="AF294" s="456">
        <f>IF(AQ294="2",BH294,0)</f>
        <v>0</v>
      </c>
      <c r="AG294" s="456">
        <f>IF(AQ294="2",BI294,0)</f>
        <v>0</v>
      </c>
      <c r="AH294" s="456">
        <f>IF(AQ294="0",BJ294,0)</f>
        <v>0</v>
      </c>
      <c r="AI294" s="438" t="s">
        <v>648</v>
      </c>
      <c r="AJ294" s="456">
        <f>IF(AN294=0,J294,0)</f>
        <v>0</v>
      </c>
      <c r="AK294" s="456">
        <f>IF(AN294=12,J294,0)</f>
        <v>0</v>
      </c>
      <c r="AL294" s="456">
        <f>IF(AN294=21,J294,0)</f>
        <v>0</v>
      </c>
      <c r="AN294" s="456">
        <v>21</v>
      </c>
      <c r="AO294" s="456">
        <f>G294*0</f>
        <v>0</v>
      </c>
      <c r="AP294" s="456">
        <f>G294*(1-0)</f>
        <v>0</v>
      </c>
      <c r="AQ294" s="458" t="s">
        <v>651</v>
      </c>
      <c r="AV294" s="456">
        <f>AW294+AX294</f>
        <v>0</v>
      </c>
      <c r="AW294" s="456">
        <f>F294*AO294</f>
        <v>0</v>
      </c>
      <c r="AX294" s="456">
        <f>F294*AP294</f>
        <v>0</v>
      </c>
      <c r="AY294" s="458" t="s">
        <v>935</v>
      </c>
      <c r="AZ294" s="458" t="s">
        <v>883</v>
      </c>
      <c r="BA294" s="438" t="s">
        <v>656</v>
      </c>
      <c r="BC294" s="456">
        <f>AW294+AX294</f>
        <v>0</v>
      </c>
      <c r="BD294" s="456">
        <f>G294/(100-BE294)*100</f>
        <v>0</v>
      </c>
      <c r="BE294" s="456">
        <v>0</v>
      </c>
      <c r="BF294" s="456">
        <f>294</f>
        <v>294</v>
      </c>
      <c r="BH294" s="456">
        <f>F294*AO294</f>
        <v>0</v>
      </c>
      <c r="BI294" s="456">
        <f>F294*AP294</f>
        <v>0</v>
      </c>
      <c r="BJ294" s="456">
        <f>F294*G294</f>
        <v>0</v>
      </c>
      <c r="BK294" s="456"/>
      <c r="BL294" s="456">
        <v>87</v>
      </c>
      <c r="BW294" s="456">
        <v>21</v>
      </c>
      <c r="BX294" s="459" t="s">
        <v>944</v>
      </c>
    </row>
    <row r="295" spans="1:76" ht="13.5">
      <c r="A295" s="460"/>
      <c r="C295" s="461" t="s">
        <v>1388</v>
      </c>
      <c r="D295" s="461" t="s">
        <v>648</v>
      </c>
      <c r="F295" s="462">
        <v>573.17999999999995</v>
      </c>
      <c r="K295" s="463"/>
    </row>
    <row r="296" spans="1:76" ht="13.5">
      <c r="A296" s="454" t="s">
        <v>964</v>
      </c>
      <c r="B296" s="455" t="s">
        <v>946</v>
      </c>
      <c r="C296" s="428" t="s">
        <v>947</v>
      </c>
      <c r="D296" s="424"/>
      <c r="E296" s="455" t="s">
        <v>7</v>
      </c>
      <c r="F296" s="456">
        <v>601.83900000000006</v>
      </c>
      <c r="G296" s="456">
        <v>0</v>
      </c>
      <c r="H296" s="456">
        <f>F296*AO296</f>
        <v>0</v>
      </c>
      <c r="I296" s="456">
        <f>F296*AP296</f>
        <v>0</v>
      </c>
      <c r="J296" s="456">
        <f>F296*G296</f>
        <v>0</v>
      </c>
      <c r="K296" s="457" t="s">
        <v>648</v>
      </c>
      <c r="Z296" s="456">
        <f>IF(AQ296="5",BJ296,0)</f>
        <v>0</v>
      </c>
      <c r="AB296" s="456">
        <f>IF(AQ296="1",BH296,0)</f>
        <v>0</v>
      </c>
      <c r="AC296" s="456">
        <f>IF(AQ296="1",BI296,0)</f>
        <v>0</v>
      </c>
      <c r="AD296" s="456">
        <f>IF(AQ296="7",BH296,0)</f>
        <v>0</v>
      </c>
      <c r="AE296" s="456">
        <f>IF(AQ296="7",BI296,0)</f>
        <v>0</v>
      </c>
      <c r="AF296" s="456">
        <f>IF(AQ296="2",BH296,0)</f>
        <v>0</v>
      </c>
      <c r="AG296" s="456">
        <f>IF(AQ296="2",BI296,0)</f>
        <v>0</v>
      </c>
      <c r="AH296" s="456">
        <f>IF(AQ296="0",BJ296,0)</f>
        <v>0</v>
      </c>
      <c r="AI296" s="438" t="s">
        <v>648</v>
      </c>
      <c r="AJ296" s="456">
        <f>IF(AN296=0,J296,0)</f>
        <v>0</v>
      </c>
      <c r="AK296" s="456">
        <f>IF(AN296=12,J296,0)</f>
        <v>0</v>
      </c>
      <c r="AL296" s="456">
        <f>IF(AN296=21,J296,0)</f>
        <v>0</v>
      </c>
      <c r="AN296" s="456">
        <v>21</v>
      </c>
      <c r="AO296" s="456">
        <f>G296*1</f>
        <v>0</v>
      </c>
      <c r="AP296" s="456">
        <f>G296*(1-1)</f>
        <v>0</v>
      </c>
      <c r="AQ296" s="458" t="s">
        <v>651</v>
      </c>
      <c r="AV296" s="456">
        <f>AW296+AX296</f>
        <v>0</v>
      </c>
      <c r="AW296" s="456">
        <f>F296*AO296</f>
        <v>0</v>
      </c>
      <c r="AX296" s="456">
        <f>F296*AP296</f>
        <v>0</v>
      </c>
      <c r="AY296" s="458" t="s">
        <v>935</v>
      </c>
      <c r="AZ296" s="458" t="s">
        <v>883</v>
      </c>
      <c r="BA296" s="438" t="s">
        <v>656</v>
      </c>
      <c r="BC296" s="456">
        <f>AW296+AX296</f>
        <v>0</v>
      </c>
      <c r="BD296" s="456">
        <f>G296/(100-BE296)*100</f>
        <v>0</v>
      </c>
      <c r="BE296" s="456">
        <v>0</v>
      </c>
      <c r="BF296" s="456">
        <f>296</f>
        <v>296</v>
      </c>
      <c r="BH296" s="456">
        <f>F296*AO296</f>
        <v>0</v>
      </c>
      <c r="BI296" s="456">
        <f>F296*AP296</f>
        <v>0</v>
      </c>
      <c r="BJ296" s="456">
        <f>F296*G296</f>
        <v>0</v>
      </c>
      <c r="BK296" s="456"/>
      <c r="BL296" s="456">
        <v>87</v>
      </c>
      <c r="BW296" s="456">
        <v>21</v>
      </c>
      <c r="BX296" s="459" t="s">
        <v>947</v>
      </c>
    </row>
    <row r="297" spans="1:76" ht="13.5">
      <c r="A297" s="460"/>
      <c r="C297" s="461" t="s">
        <v>1389</v>
      </c>
      <c r="D297" s="461" t="s">
        <v>648</v>
      </c>
      <c r="F297" s="462">
        <v>601.83900000000006</v>
      </c>
      <c r="K297" s="463"/>
    </row>
    <row r="298" spans="1:76" ht="13.5">
      <c r="A298" s="460"/>
      <c r="C298" s="461" t="s">
        <v>863</v>
      </c>
      <c r="D298" s="461" t="s">
        <v>648</v>
      </c>
      <c r="F298" s="462">
        <v>0</v>
      </c>
      <c r="K298" s="463"/>
    </row>
    <row r="299" spans="1:76" ht="13.5">
      <c r="A299" s="454" t="s">
        <v>967</v>
      </c>
      <c r="B299" s="455" t="s">
        <v>949</v>
      </c>
      <c r="C299" s="428" t="s">
        <v>950</v>
      </c>
      <c r="D299" s="424"/>
      <c r="E299" s="455" t="s">
        <v>7</v>
      </c>
      <c r="F299" s="456">
        <v>874.7</v>
      </c>
      <c r="G299" s="456">
        <v>0</v>
      </c>
      <c r="H299" s="456">
        <f>F299*AO299</f>
        <v>0</v>
      </c>
      <c r="I299" s="456">
        <f>F299*AP299</f>
        <v>0</v>
      </c>
      <c r="J299" s="456">
        <f>F299*G299</f>
        <v>0</v>
      </c>
      <c r="K299" s="457" t="s">
        <v>1410</v>
      </c>
      <c r="Z299" s="456">
        <f>IF(AQ299="5",BJ299,0)</f>
        <v>0</v>
      </c>
      <c r="AB299" s="456">
        <f>IF(AQ299="1",BH299,0)</f>
        <v>0</v>
      </c>
      <c r="AC299" s="456">
        <f>IF(AQ299="1",BI299,0)</f>
        <v>0</v>
      </c>
      <c r="AD299" s="456">
        <f>IF(AQ299="7",BH299,0)</f>
        <v>0</v>
      </c>
      <c r="AE299" s="456">
        <f>IF(AQ299="7",BI299,0)</f>
        <v>0</v>
      </c>
      <c r="AF299" s="456">
        <f>IF(AQ299="2",BH299,0)</f>
        <v>0</v>
      </c>
      <c r="AG299" s="456">
        <f>IF(AQ299="2",BI299,0)</f>
        <v>0</v>
      </c>
      <c r="AH299" s="456">
        <f>IF(AQ299="0",BJ299,0)</f>
        <v>0</v>
      </c>
      <c r="AI299" s="438" t="s">
        <v>648</v>
      </c>
      <c r="AJ299" s="456">
        <f>IF(AN299=0,J299,0)</f>
        <v>0</v>
      </c>
      <c r="AK299" s="456">
        <f>IF(AN299=12,J299,0)</f>
        <v>0</v>
      </c>
      <c r="AL299" s="456">
        <f>IF(AN299=21,J299,0)</f>
        <v>0</v>
      </c>
      <c r="AN299" s="456">
        <v>21</v>
      </c>
      <c r="AO299" s="456">
        <f>G299*0</f>
        <v>0</v>
      </c>
      <c r="AP299" s="456">
        <f>G299*(1-0)</f>
        <v>0</v>
      </c>
      <c r="AQ299" s="458" t="s">
        <v>651</v>
      </c>
      <c r="AV299" s="456">
        <f>AW299+AX299</f>
        <v>0</v>
      </c>
      <c r="AW299" s="456">
        <f>F299*AO299</f>
        <v>0</v>
      </c>
      <c r="AX299" s="456">
        <f>F299*AP299</f>
        <v>0</v>
      </c>
      <c r="AY299" s="458" t="s">
        <v>935</v>
      </c>
      <c r="AZ299" s="458" t="s">
        <v>883</v>
      </c>
      <c r="BA299" s="438" t="s">
        <v>656</v>
      </c>
      <c r="BC299" s="456">
        <f>AW299+AX299</f>
        <v>0</v>
      </c>
      <c r="BD299" s="456">
        <f>G299/(100-BE299)*100</f>
        <v>0</v>
      </c>
      <c r="BE299" s="456">
        <v>0</v>
      </c>
      <c r="BF299" s="456">
        <f>299</f>
        <v>299</v>
      </c>
      <c r="BH299" s="456">
        <f>F299*AO299</f>
        <v>0</v>
      </c>
      <c r="BI299" s="456">
        <f>F299*AP299</f>
        <v>0</v>
      </c>
      <c r="BJ299" s="456">
        <f>F299*G299</f>
        <v>0</v>
      </c>
      <c r="BK299" s="456"/>
      <c r="BL299" s="456">
        <v>87</v>
      </c>
      <c r="BW299" s="456">
        <v>21</v>
      </c>
      <c r="BX299" s="459" t="s">
        <v>950</v>
      </c>
    </row>
    <row r="300" spans="1:76" ht="13.5">
      <c r="A300" s="460"/>
      <c r="C300" s="461" t="s">
        <v>1390</v>
      </c>
      <c r="D300" s="461" t="s">
        <v>648</v>
      </c>
      <c r="F300" s="462">
        <v>874.7</v>
      </c>
      <c r="K300" s="463"/>
    </row>
    <row r="301" spans="1:76" ht="13.5">
      <c r="A301" s="454" t="s">
        <v>973</v>
      </c>
      <c r="B301" s="455" t="s">
        <v>952</v>
      </c>
      <c r="C301" s="428" t="s">
        <v>953</v>
      </c>
      <c r="D301" s="424"/>
      <c r="E301" s="455" t="s">
        <v>7</v>
      </c>
      <c r="F301" s="456">
        <v>918.43499999999995</v>
      </c>
      <c r="G301" s="456">
        <v>0</v>
      </c>
      <c r="H301" s="456">
        <f>F301*AO301</f>
        <v>0</v>
      </c>
      <c r="I301" s="456">
        <f>F301*AP301</f>
        <v>0</v>
      </c>
      <c r="J301" s="456">
        <f>F301*G301</f>
        <v>0</v>
      </c>
      <c r="K301" s="457" t="s">
        <v>648</v>
      </c>
      <c r="Z301" s="456">
        <f>IF(AQ301="5",BJ301,0)</f>
        <v>0</v>
      </c>
      <c r="AB301" s="456">
        <f>IF(AQ301="1",BH301,0)</f>
        <v>0</v>
      </c>
      <c r="AC301" s="456">
        <f>IF(AQ301="1",BI301,0)</f>
        <v>0</v>
      </c>
      <c r="AD301" s="456">
        <f>IF(AQ301="7",BH301,0)</f>
        <v>0</v>
      </c>
      <c r="AE301" s="456">
        <f>IF(AQ301="7",BI301,0)</f>
        <v>0</v>
      </c>
      <c r="AF301" s="456">
        <f>IF(AQ301="2",BH301,0)</f>
        <v>0</v>
      </c>
      <c r="AG301" s="456">
        <f>IF(AQ301="2",BI301,0)</f>
        <v>0</v>
      </c>
      <c r="AH301" s="456">
        <f>IF(AQ301="0",BJ301,0)</f>
        <v>0</v>
      </c>
      <c r="AI301" s="438" t="s">
        <v>648</v>
      </c>
      <c r="AJ301" s="456">
        <f>IF(AN301=0,J301,0)</f>
        <v>0</v>
      </c>
      <c r="AK301" s="456">
        <f>IF(AN301=12,J301,0)</f>
        <v>0</v>
      </c>
      <c r="AL301" s="456">
        <f>IF(AN301=21,J301,0)</f>
        <v>0</v>
      </c>
      <c r="AN301" s="456">
        <v>21</v>
      </c>
      <c r="AO301" s="456">
        <f>G301*1</f>
        <v>0</v>
      </c>
      <c r="AP301" s="456">
        <f>G301*(1-1)</f>
        <v>0</v>
      </c>
      <c r="AQ301" s="458" t="s">
        <v>651</v>
      </c>
      <c r="AV301" s="456">
        <f>AW301+AX301</f>
        <v>0</v>
      </c>
      <c r="AW301" s="456">
        <f>F301*AO301</f>
        <v>0</v>
      </c>
      <c r="AX301" s="456">
        <f>F301*AP301</f>
        <v>0</v>
      </c>
      <c r="AY301" s="458" t="s">
        <v>935</v>
      </c>
      <c r="AZ301" s="458" t="s">
        <v>883</v>
      </c>
      <c r="BA301" s="438" t="s">
        <v>656</v>
      </c>
      <c r="BC301" s="456">
        <f>AW301+AX301</f>
        <v>0</v>
      </c>
      <c r="BD301" s="456">
        <f>G301/(100-BE301)*100</f>
        <v>0</v>
      </c>
      <c r="BE301" s="456">
        <v>0</v>
      </c>
      <c r="BF301" s="456">
        <f>301</f>
        <v>301</v>
      </c>
      <c r="BH301" s="456">
        <f>F301*AO301</f>
        <v>0</v>
      </c>
      <c r="BI301" s="456">
        <f>F301*AP301</f>
        <v>0</v>
      </c>
      <c r="BJ301" s="456">
        <f>F301*G301</f>
        <v>0</v>
      </c>
      <c r="BK301" s="456"/>
      <c r="BL301" s="456">
        <v>87</v>
      </c>
      <c r="BW301" s="456">
        <v>21</v>
      </c>
      <c r="BX301" s="459" t="s">
        <v>953</v>
      </c>
    </row>
    <row r="302" spans="1:76" ht="13.5">
      <c r="A302" s="460"/>
      <c r="C302" s="461" t="s">
        <v>1391</v>
      </c>
      <c r="D302" s="461" t="s">
        <v>648</v>
      </c>
      <c r="F302" s="462">
        <v>918.43499999999995</v>
      </c>
      <c r="K302" s="463"/>
    </row>
    <row r="303" spans="1:76" ht="13.5">
      <c r="A303" s="460"/>
      <c r="C303" s="461" t="s">
        <v>863</v>
      </c>
      <c r="D303" s="461" t="s">
        <v>648</v>
      </c>
      <c r="F303" s="462">
        <v>0</v>
      </c>
      <c r="K303" s="463"/>
    </row>
    <row r="304" spans="1:76" ht="13.5">
      <c r="A304" s="454" t="s">
        <v>977</v>
      </c>
      <c r="B304" s="455" t="s">
        <v>955</v>
      </c>
      <c r="C304" s="428" t="s">
        <v>956</v>
      </c>
      <c r="D304" s="424"/>
      <c r="E304" s="455" t="s">
        <v>7</v>
      </c>
      <c r="F304" s="456">
        <v>982.08</v>
      </c>
      <c r="G304" s="456">
        <v>0</v>
      </c>
      <c r="H304" s="456">
        <f>F304*AO304</f>
        <v>0</v>
      </c>
      <c r="I304" s="456">
        <f>F304*AP304</f>
        <v>0</v>
      </c>
      <c r="J304" s="456">
        <f>F304*G304</f>
        <v>0</v>
      </c>
      <c r="K304" s="457" t="s">
        <v>1410</v>
      </c>
      <c r="Z304" s="456">
        <f>IF(AQ304="5",BJ304,0)</f>
        <v>0</v>
      </c>
      <c r="AB304" s="456">
        <f>IF(AQ304="1",BH304,0)</f>
        <v>0</v>
      </c>
      <c r="AC304" s="456">
        <f>IF(AQ304="1",BI304,0)</f>
        <v>0</v>
      </c>
      <c r="AD304" s="456">
        <f>IF(AQ304="7",BH304,0)</f>
        <v>0</v>
      </c>
      <c r="AE304" s="456">
        <f>IF(AQ304="7",BI304,0)</f>
        <v>0</v>
      </c>
      <c r="AF304" s="456">
        <f>IF(AQ304="2",BH304,0)</f>
        <v>0</v>
      </c>
      <c r="AG304" s="456">
        <f>IF(AQ304="2",BI304,0)</f>
        <v>0</v>
      </c>
      <c r="AH304" s="456">
        <f>IF(AQ304="0",BJ304,0)</f>
        <v>0</v>
      </c>
      <c r="AI304" s="438" t="s">
        <v>648</v>
      </c>
      <c r="AJ304" s="456">
        <f>IF(AN304=0,J304,0)</f>
        <v>0</v>
      </c>
      <c r="AK304" s="456">
        <f>IF(AN304=12,J304,0)</f>
        <v>0</v>
      </c>
      <c r="AL304" s="456">
        <f>IF(AN304=21,J304,0)</f>
        <v>0</v>
      </c>
      <c r="AN304" s="456">
        <v>21</v>
      </c>
      <c r="AO304" s="456">
        <f>G304*0</f>
        <v>0</v>
      </c>
      <c r="AP304" s="456">
        <f>G304*(1-0)</f>
        <v>0</v>
      </c>
      <c r="AQ304" s="458" t="s">
        <v>651</v>
      </c>
      <c r="AV304" s="456">
        <f>AW304+AX304</f>
        <v>0</v>
      </c>
      <c r="AW304" s="456">
        <f>F304*AO304</f>
        <v>0</v>
      </c>
      <c r="AX304" s="456">
        <f>F304*AP304</f>
        <v>0</v>
      </c>
      <c r="AY304" s="458" t="s">
        <v>935</v>
      </c>
      <c r="AZ304" s="458" t="s">
        <v>883</v>
      </c>
      <c r="BA304" s="438" t="s">
        <v>656</v>
      </c>
      <c r="BC304" s="456">
        <f>AW304+AX304</f>
        <v>0</v>
      </c>
      <c r="BD304" s="456">
        <f>G304/(100-BE304)*100</f>
        <v>0</v>
      </c>
      <c r="BE304" s="456">
        <v>0</v>
      </c>
      <c r="BF304" s="456">
        <f>304</f>
        <v>304</v>
      </c>
      <c r="BH304" s="456">
        <f>F304*AO304</f>
        <v>0</v>
      </c>
      <c r="BI304" s="456">
        <f>F304*AP304</f>
        <v>0</v>
      </c>
      <c r="BJ304" s="456">
        <f>F304*G304</f>
        <v>0</v>
      </c>
      <c r="BK304" s="456"/>
      <c r="BL304" s="456">
        <v>87</v>
      </c>
      <c r="BW304" s="456">
        <v>21</v>
      </c>
      <c r="BX304" s="459" t="s">
        <v>956</v>
      </c>
    </row>
    <row r="305" spans="1:76" ht="13.5">
      <c r="A305" s="460"/>
      <c r="C305" s="461" t="s">
        <v>1392</v>
      </c>
      <c r="D305" s="461" t="s">
        <v>648</v>
      </c>
      <c r="F305" s="462">
        <v>982.08</v>
      </c>
      <c r="K305" s="463"/>
    </row>
    <row r="306" spans="1:76" ht="13.5">
      <c r="A306" s="460"/>
      <c r="C306" s="461" t="s">
        <v>957</v>
      </c>
      <c r="D306" s="461" t="s">
        <v>648</v>
      </c>
      <c r="F306" s="462">
        <v>0</v>
      </c>
      <c r="K306" s="463"/>
    </row>
    <row r="307" spans="1:76" ht="13.5">
      <c r="A307" s="454" t="s">
        <v>982</v>
      </c>
      <c r="B307" s="455" t="s">
        <v>959</v>
      </c>
      <c r="C307" s="428" t="s">
        <v>960</v>
      </c>
      <c r="D307" s="424"/>
      <c r="E307" s="455" t="s">
        <v>7</v>
      </c>
      <c r="F307" s="456">
        <v>1031.184</v>
      </c>
      <c r="G307" s="456">
        <v>0</v>
      </c>
      <c r="H307" s="456">
        <f>F307*AO307</f>
        <v>0</v>
      </c>
      <c r="I307" s="456">
        <f>F307*AP307</f>
        <v>0</v>
      </c>
      <c r="J307" s="456">
        <f>F307*G307</f>
        <v>0</v>
      </c>
      <c r="K307" s="457" t="s">
        <v>1410</v>
      </c>
      <c r="Z307" s="456">
        <f>IF(AQ307="5",BJ307,0)</f>
        <v>0</v>
      </c>
      <c r="AB307" s="456">
        <f>IF(AQ307="1",BH307,0)</f>
        <v>0</v>
      </c>
      <c r="AC307" s="456">
        <f>IF(AQ307="1",BI307,0)</f>
        <v>0</v>
      </c>
      <c r="AD307" s="456">
        <f>IF(AQ307="7",BH307,0)</f>
        <v>0</v>
      </c>
      <c r="AE307" s="456">
        <f>IF(AQ307="7",BI307,0)</f>
        <v>0</v>
      </c>
      <c r="AF307" s="456">
        <f>IF(AQ307="2",BH307,0)</f>
        <v>0</v>
      </c>
      <c r="AG307" s="456">
        <f>IF(AQ307="2",BI307,0)</f>
        <v>0</v>
      </c>
      <c r="AH307" s="456">
        <f>IF(AQ307="0",BJ307,0)</f>
        <v>0</v>
      </c>
      <c r="AI307" s="438" t="s">
        <v>648</v>
      </c>
      <c r="AJ307" s="456">
        <f>IF(AN307=0,J307,0)</f>
        <v>0</v>
      </c>
      <c r="AK307" s="456">
        <f>IF(AN307=12,J307,0)</f>
        <v>0</v>
      </c>
      <c r="AL307" s="456">
        <f>IF(AN307=21,J307,0)</f>
        <v>0</v>
      </c>
      <c r="AN307" s="456">
        <v>21</v>
      </c>
      <c r="AO307" s="456">
        <f>G307*1</f>
        <v>0</v>
      </c>
      <c r="AP307" s="456">
        <f>G307*(1-1)</f>
        <v>0</v>
      </c>
      <c r="AQ307" s="458" t="s">
        <v>651</v>
      </c>
      <c r="AV307" s="456">
        <f>AW307+AX307</f>
        <v>0</v>
      </c>
      <c r="AW307" s="456">
        <f>F307*AO307</f>
        <v>0</v>
      </c>
      <c r="AX307" s="456">
        <f>F307*AP307</f>
        <v>0</v>
      </c>
      <c r="AY307" s="458" t="s">
        <v>935</v>
      </c>
      <c r="AZ307" s="458" t="s">
        <v>883</v>
      </c>
      <c r="BA307" s="438" t="s">
        <v>656</v>
      </c>
      <c r="BC307" s="456">
        <f>AW307+AX307</f>
        <v>0</v>
      </c>
      <c r="BD307" s="456">
        <f>G307/(100-BE307)*100</f>
        <v>0</v>
      </c>
      <c r="BE307" s="456">
        <v>0</v>
      </c>
      <c r="BF307" s="456">
        <f>307</f>
        <v>307</v>
      </c>
      <c r="BH307" s="456">
        <f>F307*AO307</f>
        <v>0</v>
      </c>
      <c r="BI307" s="456">
        <f>F307*AP307</f>
        <v>0</v>
      </c>
      <c r="BJ307" s="456">
        <f>F307*G307</f>
        <v>0</v>
      </c>
      <c r="BK307" s="456"/>
      <c r="BL307" s="456">
        <v>87</v>
      </c>
      <c r="BW307" s="456">
        <v>21</v>
      </c>
      <c r="BX307" s="459" t="s">
        <v>960</v>
      </c>
    </row>
    <row r="308" spans="1:76" ht="13.5">
      <c r="A308" s="460"/>
      <c r="C308" s="461" t="s">
        <v>1393</v>
      </c>
      <c r="D308" s="461" t="s">
        <v>648</v>
      </c>
      <c r="F308" s="462">
        <v>1031.184</v>
      </c>
      <c r="K308" s="463"/>
    </row>
    <row r="309" spans="1:76" ht="13.5">
      <c r="A309" s="460"/>
      <c r="C309" s="461" t="s">
        <v>957</v>
      </c>
      <c r="D309" s="461" t="s">
        <v>648</v>
      </c>
      <c r="F309" s="462">
        <v>0</v>
      </c>
      <c r="K309" s="463"/>
    </row>
    <row r="310" spans="1:76" ht="13.5">
      <c r="A310" s="454" t="s">
        <v>986</v>
      </c>
      <c r="B310" s="455" t="s">
        <v>962</v>
      </c>
      <c r="C310" s="428" t="s">
        <v>963</v>
      </c>
      <c r="D310" s="424"/>
      <c r="E310" s="455" t="s">
        <v>7</v>
      </c>
      <c r="F310" s="456">
        <v>1031.184</v>
      </c>
      <c r="G310" s="456">
        <v>0</v>
      </c>
      <c r="H310" s="456">
        <f>F310*AO310</f>
        <v>0</v>
      </c>
      <c r="I310" s="456">
        <f>F310*AP310</f>
        <v>0</v>
      </c>
      <c r="J310" s="456">
        <f>F310*G310</f>
        <v>0</v>
      </c>
      <c r="K310" s="457" t="s">
        <v>648</v>
      </c>
      <c r="Z310" s="456">
        <f>IF(AQ310="5",BJ310,0)</f>
        <v>0</v>
      </c>
      <c r="AB310" s="456">
        <f>IF(AQ310="1",BH310,0)</f>
        <v>0</v>
      </c>
      <c r="AC310" s="456">
        <f>IF(AQ310="1",BI310,0)</f>
        <v>0</v>
      </c>
      <c r="AD310" s="456">
        <f>IF(AQ310="7",BH310,0)</f>
        <v>0</v>
      </c>
      <c r="AE310" s="456">
        <f>IF(AQ310="7",BI310,0)</f>
        <v>0</v>
      </c>
      <c r="AF310" s="456">
        <f>IF(AQ310="2",BH310,0)</f>
        <v>0</v>
      </c>
      <c r="AG310" s="456">
        <f>IF(AQ310="2",BI310,0)</f>
        <v>0</v>
      </c>
      <c r="AH310" s="456">
        <f>IF(AQ310="0",BJ310,0)</f>
        <v>0</v>
      </c>
      <c r="AI310" s="438" t="s">
        <v>648</v>
      </c>
      <c r="AJ310" s="456">
        <f>IF(AN310=0,J310,0)</f>
        <v>0</v>
      </c>
      <c r="AK310" s="456">
        <f>IF(AN310=12,J310,0)</f>
        <v>0</v>
      </c>
      <c r="AL310" s="456">
        <f>IF(AN310=21,J310,0)</f>
        <v>0</v>
      </c>
      <c r="AN310" s="456">
        <v>21</v>
      </c>
      <c r="AO310" s="456">
        <f>G310*1</f>
        <v>0</v>
      </c>
      <c r="AP310" s="456">
        <f>G310*(1-1)</f>
        <v>0</v>
      </c>
      <c r="AQ310" s="458" t="s">
        <v>651</v>
      </c>
      <c r="AV310" s="456">
        <f>AW310+AX310</f>
        <v>0</v>
      </c>
      <c r="AW310" s="456">
        <f>F310*AO310</f>
        <v>0</v>
      </c>
      <c r="AX310" s="456">
        <f>F310*AP310</f>
        <v>0</v>
      </c>
      <c r="AY310" s="458" t="s">
        <v>935</v>
      </c>
      <c r="AZ310" s="458" t="s">
        <v>883</v>
      </c>
      <c r="BA310" s="438" t="s">
        <v>656</v>
      </c>
      <c r="BC310" s="456">
        <f>AW310+AX310</f>
        <v>0</v>
      </c>
      <c r="BD310" s="456">
        <f>G310/(100-BE310)*100</f>
        <v>0</v>
      </c>
      <c r="BE310" s="456">
        <v>0</v>
      </c>
      <c r="BF310" s="456">
        <f>310</f>
        <v>310</v>
      </c>
      <c r="BH310" s="456">
        <f>F310*AO310</f>
        <v>0</v>
      </c>
      <c r="BI310" s="456">
        <f>F310*AP310</f>
        <v>0</v>
      </c>
      <c r="BJ310" s="456">
        <f>F310*G310</f>
        <v>0</v>
      </c>
      <c r="BK310" s="456"/>
      <c r="BL310" s="456">
        <v>87</v>
      </c>
      <c r="BW310" s="456">
        <v>21</v>
      </c>
      <c r="BX310" s="459" t="s">
        <v>963</v>
      </c>
    </row>
    <row r="311" spans="1:76" ht="13.5">
      <c r="A311" s="460"/>
      <c r="C311" s="461" t="s">
        <v>1393</v>
      </c>
      <c r="D311" s="461" t="s">
        <v>648</v>
      </c>
      <c r="F311" s="462">
        <v>1031.184</v>
      </c>
      <c r="K311" s="463"/>
    </row>
    <row r="312" spans="1:76" ht="13.5">
      <c r="A312" s="460"/>
      <c r="C312" s="461" t="s">
        <v>957</v>
      </c>
      <c r="D312" s="461" t="s">
        <v>648</v>
      </c>
      <c r="F312" s="462">
        <v>0</v>
      </c>
      <c r="K312" s="463"/>
    </row>
    <row r="313" spans="1:76" ht="13.5">
      <c r="A313" s="454" t="s">
        <v>877</v>
      </c>
      <c r="B313" s="455" t="s">
        <v>965</v>
      </c>
      <c r="C313" s="428" t="s">
        <v>966</v>
      </c>
      <c r="D313" s="424"/>
      <c r="E313" s="455" t="s">
        <v>7</v>
      </c>
      <c r="F313" s="456">
        <v>2278.6995000000002</v>
      </c>
      <c r="G313" s="456">
        <v>0</v>
      </c>
      <c r="H313" s="456">
        <f>F313*AO313</f>
        <v>0</v>
      </c>
      <c r="I313" s="456">
        <f>F313*AP313</f>
        <v>0</v>
      </c>
      <c r="J313" s="456">
        <f>F313*G313</f>
        <v>0</v>
      </c>
      <c r="K313" s="457" t="s">
        <v>1410</v>
      </c>
      <c r="Z313" s="456">
        <f>IF(AQ313="5",BJ313,0)</f>
        <v>0</v>
      </c>
      <c r="AB313" s="456">
        <f>IF(AQ313="1",BH313,0)</f>
        <v>0</v>
      </c>
      <c r="AC313" s="456">
        <f>IF(AQ313="1",BI313,0)</f>
        <v>0</v>
      </c>
      <c r="AD313" s="456">
        <f>IF(AQ313="7",BH313,0)</f>
        <v>0</v>
      </c>
      <c r="AE313" s="456">
        <f>IF(AQ313="7",BI313,0)</f>
        <v>0</v>
      </c>
      <c r="AF313" s="456">
        <f>IF(AQ313="2",BH313,0)</f>
        <v>0</v>
      </c>
      <c r="AG313" s="456">
        <f>IF(AQ313="2",BI313,0)</f>
        <v>0</v>
      </c>
      <c r="AH313" s="456">
        <f>IF(AQ313="0",BJ313,0)</f>
        <v>0</v>
      </c>
      <c r="AI313" s="438" t="s">
        <v>648</v>
      </c>
      <c r="AJ313" s="456">
        <f>IF(AN313=0,J313,0)</f>
        <v>0</v>
      </c>
      <c r="AK313" s="456">
        <f>IF(AN313=12,J313,0)</f>
        <v>0</v>
      </c>
      <c r="AL313" s="456">
        <f>IF(AN313=21,J313,0)</f>
        <v>0</v>
      </c>
      <c r="AN313" s="456">
        <v>21</v>
      </c>
      <c r="AO313" s="456">
        <f>G313*0.35274726</f>
        <v>0</v>
      </c>
      <c r="AP313" s="456">
        <f>G313*(1-0.35274726)</f>
        <v>0</v>
      </c>
      <c r="AQ313" s="458" t="s">
        <v>651</v>
      </c>
      <c r="AV313" s="456">
        <f>AW313+AX313</f>
        <v>0</v>
      </c>
      <c r="AW313" s="456">
        <f>F313*AO313</f>
        <v>0</v>
      </c>
      <c r="AX313" s="456">
        <f>F313*AP313</f>
        <v>0</v>
      </c>
      <c r="AY313" s="458" t="s">
        <v>935</v>
      </c>
      <c r="AZ313" s="458" t="s">
        <v>883</v>
      </c>
      <c r="BA313" s="438" t="s">
        <v>656</v>
      </c>
      <c r="BC313" s="456">
        <f>AW313+AX313</f>
        <v>0</v>
      </c>
      <c r="BD313" s="456">
        <f>G313/(100-BE313)*100</f>
        <v>0</v>
      </c>
      <c r="BE313" s="456">
        <v>0</v>
      </c>
      <c r="BF313" s="456">
        <f>313</f>
        <v>313</v>
      </c>
      <c r="BH313" s="456">
        <f>F313*AO313</f>
        <v>0</v>
      </c>
      <c r="BI313" s="456">
        <f>F313*AP313</f>
        <v>0</v>
      </c>
      <c r="BJ313" s="456">
        <f>F313*G313</f>
        <v>0</v>
      </c>
      <c r="BK313" s="456"/>
      <c r="BL313" s="456">
        <v>87</v>
      </c>
      <c r="BW313" s="456">
        <v>21</v>
      </c>
      <c r="BX313" s="459" t="s">
        <v>966</v>
      </c>
    </row>
    <row r="314" spans="1:76" ht="13.5">
      <c r="A314" s="460"/>
      <c r="C314" s="461" t="s">
        <v>1394</v>
      </c>
      <c r="D314" s="461" t="s">
        <v>648</v>
      </c>
      <c r="F314" s="462">
        <v>367.15</v>
      </c>
      <c r="K314" s="463"/>
    </row>
    <row r="315" spans="1:76" ht="13.5">
      <c r="A315" s="460"/>
      <c r="C315" s="461" t="s">
        <v>1395</v>
      </c>
      <c r="D315" s="461" t="s">
        <v>648</v>
      </c>
      <c r="F315" s="462">
        <v>83.5</v>
      </c>
      <c r="K315" s="463"/>
    </row>
    <row r="316" spans="1:76" ht="13.5">
      <c r="A316" s="460"/>
      <c r="C316" s="461" t="s">
        <v>1396</v>
      </c>
      <c r="D316" s="461" t="s">
        <v>648</v>
      </c>
      <c r="F316" s="462">
        <v>1719.54</v>
      </c>
      <c r="K316" s="463"/>
    </row>
    <row r="317" spans="1:76" ht="13.5">
      <c r="A317" s="460"/>
      <c r="C317" s="461" t="s">
        <v>1397</v>
      </c>
      <c r="D317" s="461" t="s">
        <v>648</v>
      </c>
      <c r="F317" s="462">
        <v>108.5095</v>
      </c>
      <c r="K317" s="463"/>
    </row>
    <row r="318" spans="1:76" ht="13.5">
      <c r="A318" s="454" t="s">
        <v>993</v>
      </c>
      <c r="B318" s="455" t="s">
        <v>968</v>
      </c>
      <c r="C318" s="428" t="s">
        <v>969</v>
      </c>
      <c r="D318" s="424"/>
      <c r="E318" s="455" t="s">
        <v>7</v>
      </c>
      <c r="F318" s="456">
        <v>5</v>
      </c>
      <c r="G318" s="456">
        <v>0</v>
      </c>
      <c r="H318" s="456">
        <f>F318*AO318</f>
        <v>0</v>
      </c>
      <c r="I318" s="456">
        <f>F318*AP318</f>
        <v>0</v>
      </c>
      <c r="J318" s="456">
        <f>F318*G318</f>
        <v>0</v>
      </c>
      <c r="K318" s="457" t="s">
        <v>648</v>
      </c>
      <c r="Z318" s="456">
        <f>IF(AQ318="5",BJ318,0)</f>
        <v>0</v>
      </c>
      <c r="AB318" s="456">
        <f>IF(AQ318="1",BH318,0)</f>
        <v>0</v>
      </c>
      <c r="AC318" s="456">
        <f>IF(AQ318="1",BI318,0)</f>
        <v>0</v>
      </c>
      <c r="AD318" s="456">
        <f>IF(AQ318="7",BH318,0)</f>
        <v>0</v>
      </c>
      <c r="AE318" s="456">
        <f>IF(AQ318="7",BI318,0)</f>
        <v>0</v>
      </c>
      <c r="AF318" s="456">
        <f>IF(AQ318="2",BH318,0)</f>
        <v>0</v>
      </c>
      <c r="AG318" s="456">
        <f>IF(AQ318="2",BI318,0)</f>
        <v>0</v>
      </c>
      <c r="AH318" s="456">
        <f>IF(AQ318="0",BJ318,0)</f>
        <v>0</v>
      </c>
      <c r="AI318" s="438" t="s">
        <v>648</v>
      </c>
      <c r="AJ318" s="456">
        <f>IF(AN318=0,J318,0)</f>
        <v>0</v>
      </c>
      <c r="AK318" s="456">
        <f>IF(AN318=12,J318,0)</f>
        <v>0</v>
      </c>
      <c r="AL318" s="456">
        <f>IF(AN318=21,J318,0)</f>
        <v>0</v>
      </c>
      <c r="AN318" s="456">
        <v>21</v>
      </c>
      <c r="AO318" s="456">
        <f>G318*0.6</f>
        <v>0</v>
      </c>
      <c r="AP318" s="456">
        <f>G318*(1-0.6)</f>
        <v>0</v>
      </c>
      <c r="AQ318" s="458" t="s">
        <v>651</v>
      </c>
      <c r="AV318" s="456">
        <f>AW318+AX318</f>
        <v>0</v>
      </c>
      <c r="AW318" s="456">
        <f>F318*AO318</f>
        <v>0</v>
      </c>
      <c r="AX318" s="456">
        <f>F318*AP318</f>
        <v>0</v>
      </c>
      <c r="AY318" s="458" t="s">
        <v>935</v>
      </c>
      <c r="AZ318" s="458" t="s">
        <v>883</v>
      </c>
      <c r="BA318" s="438" t="s">
        <v>656</v>
      </c>
      <c r="BC318" s="456">
        <f>AW318+AX318</f>
        <v>0</v>
      </c>
      <c r="BD318" s="456">
        <f>G318/(100-BE318)*100</f>
        <v>0</v>
      </c>
      <c r="BE318" s="456">
        <v>0</v>
      </c>
      <c r="BF318" s="456">
        <f>318</f>
        <v>318</v>
      </c>
      <c r="BH318" s="456">
        <f>F318*AO318</f>
        <v>0</v>
      </c>
      <c r="BI318" s="456">
        <f>F318*AP318</f>
        <v>0</v>
      </c>
      <c r="BJ318" s="456">
        <f>F318*G318</f>
        <v>0</v>
      </c>
      <c r="BK318" s="456"/>
      <c r="BL318" s="456">
        <v>87</v>
      </c>
      <c r="BW318" s="456">
        <v>21</v>
      </c>
      <c r="BX318" s="459" t="s">
        <v>969</v>
      </c>
    </row>
    <row r="319" spans="1:76" ht="13.5">
      <c r="A319" s="460"/>
      <c r="C319" s="461" t="s">
        <v>970</v>
      </c>
      <c r="D319" s="461" t="s">
        <v>648</v>
      </c>
      <c r="F319" s="462">
        <v>5</v>
      </c>
      <c r="K319" s="463"/>
    </row>
    <row r="320" spans="1:76" ht="13.5">
      <c r="A320" s="448" t="s">
        <v>648</v>
      </c>
      <c r="B320" s="449" t="s">
        <v>971</v>
      </c>
      <c r="C320" s="450" t="s">
        <v>972</v>
      </c>
      <c r="D320" s="451"/>
      <c r="E320" s="452" t="s">
        <v>607</v>
      </c>
      <c r="F320" s="452" t="s">
        <v>607</v>
      </c>
      <c r="G320" s="452" t="s">
        <v>607</v>
      </c>
      <c r="H320" s="416">
        <f>SUM(H321:H323)</f>
        <v>0</v>
      </c>
      <c r="I320" s="416">
        <f>SUM(I321:I323)</f>
        <v>0</v>
      </c>
      <c r="J320" s="416">
        <f>SUM(J321:J323)</f>
        <v>0</v>
      </c>
      <c r="K320" s="453" t="s">
        <v>648</v>
      </c>
      <c r="AI320" s="438" t="s">
        <v>648</v>
      </c>
      <c r="AS320" s="416">
        <f>SUM(AJ321:AJ323)</f>
        <v>0</v>
      </c>
      <c r="AT320" s="416">
        <f>SUM(AK321:AK323)</f>
        <v>0</v>
      </c>
      <c r="AU320" s="416">
        <f>SUM(AL321:AL323)</f>
        <v>0</v>
      </c>
    </row>
    <row r="321" spans="1:76" ht="13.5">
      <c r="A321" s="454" t="s">
        <v>930</v>
      </c>
      <c r="B321" s="455" t="s">
        <v>974</v>
      </c>
      <c r="C321" s="428" t="s">
        <v>975</v>
      </c>
      <c r="D321" s="424"/>
      <c r="E321" s="455" t="s">
        <v>7</v>
      </c>
      <c r="F321" s="456">
        <v>982.08</v>
      </c>
      <c r="G321" s="456">
        <v>0</v>
      </c>
      <c r="H321" s="456">
        <f>F321*AO321</f>
        <v>0</v>
      </c>
      <c r="I321" s="456">
        <f>F321*AP321</f>
        <v>0</v>
      </c>
      <c r="J321" s="456">
        <f>F321*G321</f>
        <v>0</v>
      </c>
      <c r="K321" s="457" t="s">
        <v>1410</v>
      </c>
      <c r="Z321" s="456">
        <f>IF(AQ321="5",BJ321,0)</f>
        <v>0</v>
      </c>
      <c r="AB321" s="456">
        <f>IF(AQ321="1",BH321,0)</f>
        <v>0</v>
      </c>
      <c r="AC321" s="456">
        <f>IF(AQ321="1",BI321,0)</f>
        <v>0</v>
      </c>
      <c r="AD321" s="456">
        <f>IF(AQ321="7",BH321,0)</f>
        <v>0</v>
      </c>
      <c r="AE321" s="456">
        <f>IF(AQ321="7",BI321,0)</f>
        <v>0</v>
      </c>
      <c r="AF321" s="456">
        <f>IF(AQ321="2",BH321,0)</f>
        <v>0</v>
      </c>
      <c r="AG321" s="456">
        <f>IF(AQ321="2",BI321,0)</f>
        <v>0</v>
      </c>
      <c r="AH321" s="456">
        <f>IF(AQ321="0",BJ321,0)</f>
        <v>0</v>
      </c>
      <c r="AI321" s="438" t="s">
        <v>648</v>
      </c>
      <c r="AJ321" s="456">
        <f>IF(AN321=0,J321,0)</f>
        <v>0</v>
      </c>
      <c r="AK321" s="456">
        <f>IF(AN321=12,J321,0)</f>
        <v>0</v>
      </c>
      <c r="AL321" s="456">
        <f>IF(AN321=21,J321,0)</f>
        <v>0</v>
      </c>
      <c r="AN321" s="456">
        <v>21</v>
      </c>
      <c r="AO321" s="456">
        <f>G321*0</f>
        <v>0</v>
      </c>
      <c r="AP321" s="456">
        <f>G321*(1-0)</f>
        <v>0</v>
      </c>
      <c r="AQ321" s="458" t="s">
        <v>651</v>
      </c>
      <c r="AV321" s="456">
        <f>AW321+AX321</f>
        <v>0</v>
      </c>
      <c r="AW321" s="456">
        <f>F321*AO321</f>
        <v>0</v>
      </c>
      <c r="AX321" s="456">
        <f>F321*AP321</f>
        <v>0</v>
      </c>
      <c r="AY321" s="458" t="s">
        <v>976</v>
      </c>
      <c r="AZ321" s="458" t="s">
        <v>883</v>
      </c>
      <c r="BA321" s="438" t="s">
        <v>656</v>
      </c>
      <c r="BC321" s="456">
        <f>AW321+AX321</f>
        <v>0</v>
      </c>
      <c r="BD321" s="456">
        <f>G321/(100-BE321)*100</f>
        <v>0</v>
      </c>
      <c r="BE321" s="456">
        <v>0</v>
      </c>
      <c r="BF321" s="456">
        <f>321</f>
        <v>321</v>
      </c>
      <c r="BH321" s="456">
        <f>F321*AO321</f>
        <v>0</v>
      </c>
      <c r="BI321" s="456">
        <f>F321*AP321</f>
        <v>0</v>
      </c>
      <c r="BJ321" s="456">
        <f>F321*G321</f>
        <v>0</v>
      </c>
      <c r="BK321" s="456"/>
      <c r="BL321" s="456">
        <v>88</v>
      </c>
      <c r="BW321" s="456">
        <v>21</v>
      </c>
      <c r="BX321" s="459" t="s">
        <v>975</v>
      </c>
    </row>
    <row r="322" spans="1:76" ht="13.5">
      <c r="A322" s="460"/>
      <c r="C322" s="461" t="s">
        <v>1398</v>
      </c>
      <c r="D322" s="461" t="s">
        <v>648</v>
      </c>
      <c r="F322" s="462">
        <v>982.08</v>
      </c>
      <c r="K322" s="463"/>
    </row>
    <row r="323" spans="1:76" ht="13.5">
      <c r="A323" s="454" t="s">
        <v>971</v>
      </c>
      <c r="B323" s="455" t="s">
        <v>978</v>
      </c>
      <c r="C323" s="428" t="s">
        <v>979</v>
      </c>
      <c r="D323" s="424"/>
      <c r="E323" s="455" t="s">
        <v>7</v>
      </c>
      <c r="F323" s="456">
        <v>1031.184</v>
      </c>
      <c r="G323" s="456">
        <v>0</v>
      </c>
      <c r="H323" s="456">
        <f>F323*AO323</f>
        <v>0</v>
      </c>
      <c r="I323" s="456">
        <f>F323*AP323</f>
        <v>0</v>
      </c>
      <c r="J323" s="456">
        <f>F323*G323</f>
        <v>0</v>
      </c>
      <c r="K323" s="457" t="s">
        <v>1410</v>
      </c>
      <c r="Z323" s="456">
        <f>IF(AQ323="5",BJ323,0)</f>
        <v>0</v>
      </c>
      <c r="AB323" s="456">
        <f>IF(AQ323="1",BH323,0)</f>
        <v>0</v>
      </c>
      <c r="AC323" s="456">
        <f>IF(AQ323="1",BI323,0)</f>
        <v>0</v>
      </c>
      <c r="AD323" s="456">
        <f>IF(AQ323="7",BH323,0)</f>
        <v>0</v>
      </c>
      <c r="AE323" s="456">
        <f>IF(AQ323="7",BI323,0)</f>
        <v>0</v>
      </c>
      <c r="AF323" s="456">
        <f>IF(AQ323="2",BH323,0)</f>
        <v>0</v>
      </c>
      <c r="AG323" s="456">
        <f>IF(AQ323="2",BI323,0)</f>
        <v>0</v>
      </c>
      <c r="AH323" s="456">
        <f>IF(AQ323="0",BJ323,0)</f>
        <v>0</v>
      </c>
      <c r="AI323" s="438" t="s">
        <v>648</v>
      </c>
      <c r="AJ323" s="456">
        <f>IF(AN323=0,J323,0)</f>
        <v>0</v>
      </c>
      <c r="AK323" s="456">
        <f>IF(AN323=12,J323,0)</f>
        <v>0</v>
      </c>
      <c r="AL323" s="456">
        <f>IF(AN323=21,J323,0)</f>
        <v>0</v>
      </c>
      <c r="AN323" s="456">
        <v>21</v>
      </c>
      <c r="AO323" s="456">
        <f>G323*1</f>
        <v>0</v>
      </c>
      <c r="AP323" s="456">
        <f>G323*(1-1)</f>
        <v>0</v>
      </c>
      <c r="AQ323" s="458" t="s">
        <v>651</v>
      </c>
      <c r="AV323" s="456">
        <f>AW323+AX323</f>
        <v>0</v>
      </c>
      <c r="AW323" s="456">
        <f>F323*AO323</f>
        <v>0</v>
      </c>
      <c r="AX323" s="456">
        <f>F323*AP323</f>
        <v>0</v>
      </c>
      <c r="AY323" s="458" t="s">
        <v>976</v>
      </c>
      <c r="AZ323" s="458" t="s">
        <v>883</v>
      </c>
      <c r="BA323" s="438" t="s">
        <v>656</v>
      </c>
      <c r="BC323" s="456">
        <f>AW323+AX323</f>
        <v>0</v>
      </c>
      <c r="BD323" s="456">
        <f>G323/(100-BE323)*100</f>
        <v>0</v>
      </c>
      <c r="BE323" s="456">
        <v>0</v>
      </c>
      <c r="BF323" s="456">
        <f>323</f>
        <v>323</v>
      </c>
      <c r="BH323" s="456">
        <f>F323*AO323</f>
        <v>0</v>
      </c>
      <c r="BI323" s="456">
        <f>F323*AP323</f>
        <v>0</v>
      </c>
      <c r="BJ323" s="456">
        <f>F323*G323</f>
        <v>0</v>
      </c>
      <c r="BK323" s="456"/>
      <c r="BL323" s="456">
        <v>88</v>
      </c>
      <c r="BW323" s="456">
        <v>21</v>
      </c>
      <c r="BX323" s="459" t="s">
        <v>979</v>
      </c>
    </row>
    <row r="324" spans="1:76" ht="13.5">
      <c r="A324" s="460"/>
      <c r="C324" s="461" t="s">
        <v>1393</v>
      </c>
      <c r="D324" s="461" t="s">
        <v>648</v>
      </c>
      <c r="F324" s="462">
        <v>1031.184</v>
      </c>
      <c r="K324" s="463"/>
    </row>
    <row r="325" spans="1:76" ht="13.5">
      <c r="A325" s="448" t="s">
        <v>648</v>
      </c>
      <c r="B325" s="449" t="s">
        <v>980</v>
      </c>
      <c r="C325" s="450" t="s">
        <v>981</v>
      </c>
      <c r="D325" s="451"/>
      <c r="E325" s="452" t="s">
        <v>607</v>
      </c>
      <c r="F325" s="452" t="s">
        <v>607</v>
      </c>
      <c r="G325" s="452" t="s">
        <v>607</v>
      </c>
      <c r="H325" s="416">
        <f>SUM(H326:H342)</f>
        <v>0</v>
      </c>
      <c r="I325" s="416">
        <f>SUM(I326:I342)</f>
        <v>0</v>
      </c>
      <c r="J325" s="416">
        <f>SUM(J326:J342)</f>
        <v>0</v>
      </c>
      <c r="K325" s="453" t="s">
        <v>648</v>
      </c>
      <c r="AI325" s="438" t="s">
        <v>648</v>
      </c>
      <c r="AS325" s="416">
        <f>SUM(AJ326:AJ342)</f>
        <v>0</v>
      </c>
      <c r="AT325" s="416">
        <f>SUM(AK326:AK342)</f>
        <v>0</v>
      </c>
      <c r="AU325" s="416">
        <f>SUM(AL326:AL342)</f>
        <v>0</v>
      </c>
    </row>
    <row r="326" spans="1:76" ht="13.5">
      <c r="A326" s="454" t="s">
        <v>980</v>
      </c>
      <c r="B326" s="455" t="s">
        <v>983</v>
      </c>
      <c r="C326" s="428" t="s">
        <v>984</v>
      </c>
      <c r="D326" s="424"/>
      <c r="E326" s="455" t="s">
        <v>7</v>
      </c>
      <c r="F326" s="456">
        <v>573.17999999999995</v>
      </c>
      <c r="G326" s="456">
        <v>0</v>
      </c>
      <c r="H326" s="456">
        <f>F326*AO326</f>
        <v>0</v>
      </c>
      <c r="I326" s="456">
        <f>F326*AP326</f>
        <v>0</v>
      </c>
      <c r="J326" s="456">
        <f>F326*G326</f>
        <v>0</v>
      </c>
      <c r="K326" s="457" t="s">
        <v>1410</v>
      </c>
      <c r="Z326" s="456">
        <f>IF(AQ326="5",BJ326,0)</f>
        <v>0</v>
      </c>
      <c r="AB326" s="456">
        <f>IF(AQ326="1",BH326,0)</f>
        <v>0</v>
      </c>
      <c r="AC326" s="456">
        <f>IF(AQ326="1",BI326,0)</f>
        <v>0</v>
      </c>
      <c r="AD326" s="456">
        <f>IF(AQ326="7",BH326,0)</f>
        <v>0</v>
      </c>
      <c r="AE326" s="456">
        <f>IF(AQ326="7",BI326,0)</f>
        <v>0</v>
      </c>
      <c r="AF326" s="456">
        <f>IF(AQ326="2",BH326,0)</f>
        <v>0</v>
      </c>
      <c r="AG326" s="456">
        <f>IF(AQ326="2",BI326,0)</f>
        <v>0</v>
      </c>
      <c r="AH326" s="456">
        <f>IF(AQ326="0",BJ326,0)</f>
        <v>0</v>
      </c>
      <c r="AI326" s="438" t="s">
        <v>648</v>
      </c>
      <c r="AJ326" s="456">
        <f>IF(AN326=0,J326,0)</f>
        <v>0</v>
      </c>
      <c r="AK326" s="456">
        <f>IF(AN326=12,J326,0)</f>
        <v>0</v>
      </c>
      <c r="AL326" s="456">
        <f>IF(AN326=21,J326,0)</f>
        <v>0</v>
      </c>
      <c r="AN326" s="456">
        <v>21</v>
      </c>
      <c r="AO326" s="456">
        <f>G326*0.030268195</f>
        <v>0</v>
      </c>
      <c r="AP326" s="456">
        <f>G326*(1-0.030268195)</f>
        <v>0</v>
      </c>
      <c r="AQ326" s="458" t="s">
        <v>651</v>
      </c>
      <c r="AV326" s="456">
        <f>AW326+AX326</f>
        <v>0</v>
      </c>
      <c r="AW326" s="456">
        <f>F326*AO326</f>
        <v>0</v>
      </c>
      <c r="AX326" s="456">
        <f>F326*AP326</f>
        <v>0</v>
      </c>
      <c r="AY326" s="458" t="s">
        <v>985</v>
      </c>
      <c r="AZ326" s="458" t="s">
        <v>883</v>
      </c>
      <c r="BA326" s="438" t="s">
        <v>656</v>
      </c>
      <c r="BC326" s="456">
        <f>AW326+AX326</f>
        <v>0</v>
      </c>
      <c r="BD326" s="456">
        <f>G326/(100-BE326)*100</f>
        <v>0</v>
      </c>
      <c r="BE326" s="456">
        <v>0</v>
      </c>
      <c r="BF326" s="456">
        <f>326</f>
        <v>326</v>
      </c>
      <c r="BH326" s="456">
        <f>F326*AO326</f>
        <v>0</v>
      </c>
      <c r="BI326" s="456">
        <f>F326*AP326</f>
        <v>0</v>
      </c>
      <c r="BJ326" s="456">
        <f>F326*G326</f>
        <v>0</v>
      </c>
      <c r="BK326" s="456"/>
      <c r="BL326" s="456">
        <v>89</v>
      </c>
      <c r="BW326" s="456">
        <v>21</v>
      </c>
      <c r="BX326" s="459" t="s">
        <v>984</v>
      </c>
    </row>
    <row r="327" spans="1:76" ht="13.5">
      <c r="A327" s="460"/>
      <c r="C327" s="461" t="s">
        <v>1388</v>
      </c>
      <c r="D327" s="461" t="s">
        <v>648</v>
      </c>
      <c r="F327" s="462">
        <v>573.17999999999995</v>
      </c>
      <c r="K327" s="463"/>
    </row>
    <row r="328" spans="1:76" ht="13.5">
      <c r="A328" s="454" t="s">
        <v>1004</v>
      </c>
      <c r="B328" s="455" t="s">
        <v>987</v>
      </c>
      <c r="C328" s="428" t="s">
        <v>988</v>
      </c>
      <c r="D328" s="424"/>
      <c r="E328" s="455" t="s">
        <v>7</v>
      </c>
      <c r="F328" s="456">
        <v>1630.89</v>
      </c>
      <c r="G328" s="456">
        <v>0</v>
      </c>
      <c r="H328" s="456">
        <f>F328*AO328</f>
        <v>0</v>
      </c>
      <c r="I328" s="456">
        <f>F328*AP328</f>
        <v>0</v>
      </c>
      <c r="J328" s="456">
        <f>F328*G328</f>
        <v>0</v>
      </c>
      <c r="K328" s="457" t="s">
        <v>1410</v>
      </c>
      <c r="Z328" s="456">
        <f>IF(AQ328="5",BJ328,0)</f>
        <v>0</v>
      </c>
      <c r="AB328" s="456">
        <f>IF(AQ328="1",BH328,0)</f>
        <v>0</v>
      </c>
      <c r="AC328" s="456">
        <f>IF(AQ328="1",BI328,0)</f>
        <v>0</v>
      </c>
      <c r="AD328" s="456">
        <f>IF(AQ328="7",BH328,0)</f>
        <v>0</v>
      </c>
      <c r="AE328" s="456">
        <f>IF(AQ328="7",BI328,0)</f>
        <v>0</v>
      </c>
      <c r="AF328" s="456">
        <f>IF(AQ328="2",BH328,0)</f>
        <v>0</v>
      </c>
      <c r="AG328" s="456">
        <f>IF(AQ328="2",BI328,0)</f>
        <v>0</v>
      </c>
      <c r="AH328" s="456">
        <f>IF(AQ328="0",BJ328,0)</f>
        <v>0</v>
      </c>
      <c r="AI328" s="438" t="s">
        <v>648</v>
      </c>
      <c r="AJ328" s="456">
        <f>IF(AN328=0,J328,0)</f>
        <v>0</v>
      </c>
      <c r="AK328" s="456">
        <f>IF(AN328=12,J328,0)</f>
        <v>0</v>
      </c>
      <c r="AL328" s="456">
        <f>IF(AN328=21,J328,0)</f>
        <v>0</v>
      </c>
      <c r="AN328" s="456">
        <v>21</v>
      </c>
      <c r="AO328" s="456">
        <f>G328*0.059821433</f>
        <v>0</v>
      </c>
      <c r="AP328" s="456">
        <f>G328*(1-0.059821433)</f>
        <v>0</v>
      </c>
      <c r="AQ328" s="458" t="s">
        <v>651</v>
      </c>
      <c r="AV328" s="456">
        <f>AW328+AX328</f>
        <v>0</v>
      </c>
      <c r="AW328" s="456">
        <f>F328*AO328</f>
        <v>0</v>
      </c>
      <c r="AX328" s="456">
        <f>F328*AP328</f>
        <v>0</v>
      </c>
      <c r="AY328" s="458" t="s">
        <v>985</v>
      </c>
      <c r="AZ328" s="458" t="s">
        <v>883</v>
      </c>
      <c r="BA328" s="438" t="s">
        <v>656</v>
      </c>
      <c r="BC328" s="456">
        <f>AW328+AX328</f>
        <v>0</v>
      </c>
      <c r="BD328" s="456">
        <f>G328/(100-BE328)*100</f>
        <v>0</v>
      </c>
      <c r="BE328" s="456">
        <v>0</v>
      </c>
      <c r="BF328" s="456">
        <f>328</f>
        <v>328</v>
      </c>
      <c r="BH328" s="456">
        <f>F328*AO328</f>
        <v>0</v>
      </c>
      <c r="BI328" s="456">
        <f>F328*AP328</f>
        <v>0</v>
      </c>
      <c r="BJ328" s="456">
        <f>F328*G328</f>
        <v>0</v>
      </c>
      <c r="BK328" s="456"/>
      <c r="BL328" s="456">
        <v>89</v>
      </c>
      <c r="BW328" s="456">
        <v>21</v>
      </c>
      <c r="BX328" s="459" t="s">
        <v>988</v>
      </c>
    </row>
    <row r="329" spans="1:76" ht="13.5">
      <c r="A329" s="460"/>
      <c r="C329" s="461" t="s">
        <v>1390</v>
      </c>
      <c r="D329" s="461" t="s">
        <v>648</v>
      </c>
      <c r="F329" s="462">
        <v>874.7</v>
      </c>
      <c r="K329" s="463"/>
    </row>
    <row r="330" spans="1:76" ht="13.5">
      <c r="A330" s="460"/>
      <c r="C330" s="461" t="s">
        <v>1399</v>
      </c>
      <c r="D330" s="461" t="s">
        <v>648</v>
      </c>
      <c r="F330" s="462">
        <v>721.58</v>
      </c>
      <c r="K330" s="463"/>
    </row>
    <row r="331" spans="1:76" ht="13.5">
      <c r="A331" s="460"/>
      <c r="C331" s="461" t="s">
        <v>989</v>
      </c>
      <c r="D331" s="461" t="s">
        <v>648</v>
      </c>
      <c r="F331" s="462">
        <v>34.61</v>
      </c>
      <c r="K331" s="463"/>
    </row>
    <row r="332" spans="1:76" ht="13.5">
      <c r="A332" s="454" t="s">
        <v>1009</v>
      </c>
      <c r="B332" s="455" t="s">
        <v>990</v>
      </c>
      <c r="C332" s="428" t="s">
        <v>991</v>
      </c>
      <c r="D332" s="424"/>
      <c r="E332" s="455" t="s">
        <v>14</v>
      </c>
      <c r="F332" s="456">
        <v>2</v>
      </c>
      <c r="G332" s="456">
        <v>0</v>
      </c>
      <c r="H332" s="456">
        <f>F332*AO332</f>
        <v>0</v>
      </c>
      <c r="I332" s="456">
        <f>F332*AP332</f>
        <v>0</v>
      </c>
      <c r="J332" s="456">
        <f>F332*G332</f>
        <v>0</v>
      </c>
      <c r="K332" s="457" t="s">
        <v>1410</v>
      </c>
      <c r="Z332" s="456">
        <f>IF(AQ332="5",BJ332,0)</f>
        <v>0</v>
      </c>
      <c r="AB332" s="456">
        <f>IF(AQ332="1",BH332,0)</f>
        <v>0</v>
      </c>
      <c r="AC332" s="456">
        <f>IF(AQ332="1",BI332,0)</f>
        <v>0</v>
      </c>
      <c r="AD332" s="456">
        <f>IF(AQ332="7",BH332,0)</f>
        <v>0</v>
      </c>
      <c r="AE332" s="456">
        <f>IF(AQ332="7",BI332,0)</f>
        <v>0</v>
      </c>
      <c r="AF332" s="456">
        <f>IF(AQ332="2",BH332,0)</f>
        <v>0</v>
      </c>
      <c r="AG332" s="456">
        <f>IF(AQ332="2",BI332,0)</f>
        <v>0</v>
      </c>
      <c r="AH332" s="456">
        <f>IF(AQ332="0",BJ332,0)</f>
        <v>0</v>
      </c>
      <c r="AI332" s="438" t="s">
        <v>648</v>
      </c>
      <c r="AJ332" s="456">
        <f>IF(AN332=0,J332,0)</f>
        <v>0</v>
      </c>
      <c r="AK332" s="456">
        <f>IF(AN332=12,J332,0)</f>
        <v>0</v>
      </c>
      <c r="AL332" s="456">
        <f>IF(AN332=21,J332,0)</f>
        <v>0</v>
      </c>
      <c r="AN332" s="456">
        <v>21</v>
      </c>
      <c r="AO332" s="456">
        <f>G332*0.158887987</f>
        <v>0</v>
      </c>
      <c r="AP332" s="456">
        <f>G332*(1-0.158887987)</f>
        <v>0</v>
      </c>
      <c r="AQ332" s="458" t="s">
        <v>651</v>
      </c>
      <c r="AV332" s="456">
        <f>AW332+AX332</f>
        <v>0</v>
      </c>
      <c r="AW332" s="456">
        <f>F332*AO332</f>
        <v>0</v>
      </c>
      <c r="AX332" s="456">
        <f>F332*AP332</f>
        <v>0</v>
      </c>
      <c r="AY332" s="458" t="s">
        <v>985</v>
      </c>
      <c r="AZ332" s="458" t="s">
        <v>883</v>
      </c>
      <c r="BA332" s="438" t="s">
        <v>656</v>
      </c>
      <c r="BC332" s="456">
        <f>AW332+AX332</f>
        <v>0</v>
      </c>
      <c r="BD332" s="456">
        <f>G332/(100-BE332)*100</f>
        <v>0</v>
      </c>
      <c r="BE332" s="456">
        <v>0</v>
      </c>
      <c r="BF332" s="456">
        <f>332</f>
        <v>332</v>
      </c>
      <c r="BH332" s="456">
        <f>F332*AO332</f>
        <v>0</v>
      </c>
      <c r="BI332" s="456">
        <f>F332*AP332</f>
        <v>0</v>
      </c>
      <c r="BJ332" s="456">
        <f>F332*G332</f>
        <v>0</v>
      </c>
      <c r="BK332" s="456"/>
      <c r="BL332" s="456">
        <v>89</v>
      </c>
      <c r="BW332" s="456">
        <v>21</v>
      </c>
      <c r="BX332" s="459" t="s">
        <v>991</v>
      </c>
    </row>
    <row r="333" spans="1:76" ht="13.5">
      <c r="A333" s="460"/>
      <c r="C333" s="461" t="s">
        <v>992</v>
      </c>
      <c r="D333" s="461" t="s">
        <v>648</v>
      </c>
      <c r="F333" s="462">
        <v>2</v>
      </c>
      <c r="K333" s="463"/>
    </row>
    <row r="334" spans="1:76" ht="13.5">
      <c r="A334" s="454" t="s">
        <v>1014</v>
      </c>
      <c r="B334" s="455" t="s">
        <v>994</v>
      </c>
      <c r="C334" s="428" t="s">
        <v>995</v>
      </c>
      <c r="D334" s="424"/>
      <c r="E334" s="455" t="s">
        <v>14</v>
      </c>
      <c r="F334" s="456">
        <v>2</v>
      </c>
      <c r="G334" s="456">
        <v>0</v>
      </c>
      <c r="H334" s="456">
        <f>F334*AO334</f>
        <v>0</v>
      </c>
      <c r="I334" s="456">
        <f>F334*AP334</f>
        <v>0</v>
      </c>
      <c r="J334" s="456">
        <f>F334*G334</f>
        <v>0</v>
      </c>
      <c r="K334" s="457" t="s">
        <v>648</v>
      </c>
      <c r="Z334" s="456">
        <f>IF(AQ334="5",BJ334,0)</f>
        <v>0</v>
      </c>
      <c r="AB334" s="456">
        <f>IF(AQ334="1",BH334,0)</f>
        <v>0</v>
      </c>
      <c r="AC334" s="456">
        <f>IF(AQ334="1",BI334,0)</f>
        <v>0</v>
      </c>
      <c r="AD334" s="456">
        <f>IF(AQ334="7",BH334,0)</f>
        <v>0</v>
      </c>
      <c r="AE334" s="456">
        <f>IF(AQ334="7",BI334,0)</f>
        <v>0</v>
      </c>
      <c r="AF334" s="456">
        <f>IF(AQ334="2",BH334,0)</f>
        <v>0</v>
      </c>
      <c r="AG334" s="456">
        <f>IF(AQ334="2",BI334,0)</f>
        <v>0</v>
      </c>
      <c r="AH334" s="456">
        <f>IF(AQ334="0",BJ334,0)</f>
        <v>0</v>
      </c>
      <c r="AI334" s="438" t="s">
        <v>648</v>
      </c>
      <c r="AJ334" s="456">
        <f>IF(AN334=0,J334,0)</f>
        <v>0</v>
      </c>
      <c r="AK334" s="456">
        <f>IF(AN334=12,J334,0)</f>
        <v>0</v>
      </c>
      <c r="AL334" s="456">
        <f>IF(AN334=21,J334,0)</f>
        <v>0</v>
      </c>
      <c r="AN334" s="456">
        <v>21</v>
      </c>
      <c r="AO334" s="456">
        <f>G334*1</f>
        <v>0</v>
      </c>
      <c r="AP334" s="456">
        <f>G334*(1-1)</f>
        <v>0</v>
      </c>
      <c r="AQ334" s="458" t="s">
        <v>651</v>
      </c>
      <c r="AV334" s="456">
        <f>AW334+AX334</f>
        <v>0</v>
      </c>
      <c r="AW334" s="456">
        <f>F334*AO334</f>
        <v>0</v>
      </c>
      <c r="AX334" s="456">
        <f>F334*AP334</f>
        <v>0</v>
      </c>
      <c r="AY334" s="458" t="s">
        <v>985</v>
      </c>
      <c r="AZ334" s="458" t="s">
        <v>883</v>
      </c>
      <c r="BA334" s="438" t="s">
        <v>656</v>
      </c>
      <c r="BC334" s="456">
        <f>AW334+AX334</f>
        <v>0</v>
      </c>
      <c r="BD334" s="456">
        <f>G334/(100-BE334)*100</f>
        <v>0</v>
      </c>
      <c r="BE334" s="456">
        <v>0</v>
      </c>
      <c r="BF334" s="456">
        <f>334</f>
        <v>334</v>
      </c>
      <c r="BH334" s="456">
        <f>F334*AO334</f>
        <v>0</v>
      </c>
      <c r="BI334" s="456">
        <f>F334*AP334</f>
        <v>0</v>
      </c>
      <c r="BJ334" s="456">
        <f>F334*G334</f>
        <v>0</v>
      </c>
      <c r="BK334" s="456"/>
      <c r="BL334" s="456">
        <v>89</v>
      </c>
      <c r="BW334" s="456">
        <v>21</v>
      </c>
      <c r="BX334" s="459" t="s">
        <v>995</v>
      </c>
    </row>
    <row r="335" spans="1:76" ht="13.5">
      <c r="A335" s="460"/>
      <c r="C335" s="461" t="s">
        <v>900</v>
      </c>
      <c r="D335" s="461" t="s">
        <v>648</v>
      </c>
      <c r="F335" s="462">
        <v>2</v>
      </c>
      <c r="K335" s="463"/>
    </row>
    <row r="336" spans="1:76" ht="13.5">
      <c r="A336" s="454" t="s">
        <v>1017</v>
      </c>
      <c r="B336" s="455" t="s">
        <v>996</v>
      </c>
      <c r="C336" s="428" t="s">
        <v>997</v>
      </c>
      <c r="D336" s="424"/>
      <c r="E336" s="455" t="s">
        <v>14</v>
      </c>
      <c r="F336" s="456">
        <v>1</v>
      </c>
      <c r="G336" s="456">
        <v>0</v>
      </c>
      <c r="H336" s="456">
        <f>F336*AO336</f>
        <v>0</v>
      </c>
      <c r="I336" s="456">
        <f>F336*AP336</f>
        <v>0</v>
      </c>
      <c r="J336" s="456">
        <f>F336*G336</f>
        <v>0</v>
      </c>
      <c r="K336" s="457" t="s">
        <v>1410</v>
      </c>
      <c r="Z336" s="456">
        <f>IF(AQ336="5",BJ336,0)</f>
        <v>0</v>
      </c>
      <c r="AB336" s="456">
        <f>IF(AQ336="1",BH336,0)</f>
        <v>0</v>
      </c>
      <c r="AC336" s="456">
        <f>IF(AQ336="1",BI336,0)</f>
        <v>0</v>
      </c>
      <c r="AD336" s="456">
        <f>IF(AQ336="7",BH336,0)</f>
        <v>0</v>
      </c>
      <c r="AE336" s="456">
        <f>IF(AQ336="7",BI336,0)</f>
        <v>0</v>
      </c>
      <c r="AF336" s="456">
        <f>IF(AQ336="2",BH336,0)</f>
        <v>0</v>
      </c>
      <c r="AG336" s="456">
        <f>IF(AQ336="2",BI336,0)</f>
        <v>0</v>
      </c>
      <c r="AH336" s="456">
        <f>IF(AQ336="0",BJ336,0)</f>
        <v>0</v>
      </c>
      <c r="AI336" s="438" t="s">
        <v>648</v>
      </c>
      <c r="AJ336" s="456">
        <f>IF(AN336=0,J336,0)</f>
        <v>0</v>
      </c>
      <c r="AK336" s="456">
        <f>IF(AN336=12,J336,0)</f>
        <v>0</v>
      </c>
      <c r="AL336" s="456">
        <f>IF(AN336=21,J336,0)</f>
        <v>0</v>
      </c>
      <c r="AN336" s="456">
        <v>21</v>
      </c>
      <c r="AO336" s="456">
        <f>G336*0.108707555</f>
        <v>0</v>
      </c>
      <c r="AP336" s="456">
        <f>G336*(1-0.108707555)</f>
        <v>0</v>
      </c>
      <c r="AQ336" s="458" t="s">
        <v>651</v>
      </c>
      <c r="AV336" s="456">
        <f>AW336+AX336</f>
        <v>0</v>
      </c>
      <c r="AW336" s="456">
        <f>F336*AO336</f>
        <v>0</v>
      </c>
      <c r="AX336" s="456">
        <f>F336*AP336</f>
        <v>0</v>
      </c>
      <c r="AY336" s="458" t="s">
        <v>985</v>
      </c>
      <c r="AZ336" s="458" t="s">
        <v>883</v>
      </c>
      <c r="BA336" s="438" t="s">
        <v>656</v>
      </c>
      <c r="BC336" s="456">
        <f>AW336+AX336</f>
        <v>0</v>
      </c>
      <c r="BD336" s="456">
        <f>G336/(100-BE336)*100</f>
        <v>0</v>
      </c>
      <c r="BE336" s="456">
        <v>0</v>
      </c>
      <c r="BF336" s="456">
        <f>336</f>
        <v>336</v>
      </c>
      <c r="BH336" s="456">
        <f>F336*AO336</f>
        <v>0</v>
      </c>
      <c r="BI336" s="456">
        <f>F336*AP336</f>
        <v>0</v>
      </c>
      <c r="BJ336" s="456">
        <f>F336*G336</f>
        <v>0</v>
      </c>
      <c r="BK336" s="456"/>
      <c r="BL336" s="456">
        <v>89</v>
      </c>
      <c r="BW336" s="456">
        <v>21</v>
      </c>
      <c r="BX336" s="459" t="s">
        <v>997</v>
      </c>
    </row>
    <row r="337" spans="1:76" ht="13.5">
      <c r="A337" s="460"/>
      <c r="C337" s="461" t="s">
        <v>998</v>
      </c>
      <c r="D337" s="461" t="s">
        <v>648</v>
      </c>
      <c r="F337" s="462">
        <v>1</v>
      </c>
      <c r="K337" s="463"/>
    </row>
    <row r="338" spans="1:76" ht="13.5">
      <c r="A338" s="454" t="s">
        <v>1019</v>
      </c>
      <c r="B338" s="455" t="s">
        <v>999</v>
      </c>
      <c r="C338" s="428" t="s">
        <v>1000</v>
      </c>
      <c r="D338" s="424"/>
      <c r="E338" s="455" t="s">
        <v>14</v>
      </c>
      <c r="F338" s="456">
        <v>1</v>
      </c>
      <c r="G338" s="456">
        <v>0</v>
      </c>
      <c r="H338" s="456">
        <f>F338*AO338</f>
        <v>0</v>
      </c>
      <c r="I338" s="456">
        <f>F338*AP338</f>
        <v>0</v>
      </c>
      <c r="J338" s="456">
        <f>F338*G338</f>
        <v>0</v>
      </c>
      <c r="K338" s="457" t="s">
        <v>648</v>
      </c>
      <c r="Z338" s="456">
        <f>IF(AQ338="5",BJ338,0)</f>
        <v>0</v>
      </c>
      <c r="AB338" s="456">
        <f>IF(AQ338="1",BH338,0)</f>
        <v>0</v>
      </c>
      <c r="AC338" s="456">
        <f>IF(AQ338="1",BI338,0)</f>
        <v>0</v>
      </c>
      <c r="AD338" s="456">
        <f>IF(AQ338="7",BH338,0)</f>
        <v>0</v>
      </c>
      <c r="AE338" s="456">
        <f>IF(AQ338="7",BI338,0)</f>
        <v>0</v>
      </c>
      <c r="AF338" s="456">
        <f>IF(AQ338="2",BH338,0)</f>
        <v>0</v>
      </c>
      <c r="AG338" s="456">
        <f>IF(AQ338="2",BI338,0)</f>
        <v>0</v>
      </c>
      <c r="AH338" s="456">
        <f>IF(AQ338="0",BJ338,0)</f>
        <v>0</v>
      </c>
      <c r="AI338" s="438" t="s">
        <v>648</v>
      </c>
      <c r="AJ338" s="456">
        <f>IF(AN338=0,J338,0)</f>
        <v>0</v>
      </c>
      <c r="AK338" s="456">
        <f>IF(AN338=12,J338,0)</f>
        <v>0</v>
      </c>
      <c r="AL338" s="456">
        <f>IF(AN338=21,J338,0)</f>
        <v>0</v>
      </c>
      <c r="AN338" s="456">
        <v>21</v>
      </c>
      <c r="AO338" s="456">
        <f>G338*1</f>
        <v>0</v>
      </c>
      <c r="AP338" s="456">
        <f>G338*(1-1)</f>
        <v>0</v>
      </c>
      <c r="AQ338" s="458" t="s">
        <v>651</v>
      </c>
      <c r="AV338" s="456">
        <f>AW338+AX338</f>
        <v>0</v>
      </c>
      <c r="AW338" s="456">
        <f>F338*AO338</f>
        <v>0</v>
      </c>
      <c r="AX338" s="456">
        <f>F338*AP338</f>
        <v>0</v>
      </c>
      <c r="AY338" s="458" t="s">
        <v>985</v>
      </c>
      <c r="AZ338" s="458" t="s">
        <v>883</v>
      </c>
      <c r="BA338" s="438" t="s">
        <v>656</v>
      </c>
      <c r="BC338" s="456">
        <f>AW338+AX338</f>
        <v>0</v>
      </c>
      <c r="BD338" s="456">
        <f>G338/(100-BE338)*100</f>
        <v>0</v>
      </c>
      <c r="BE338" s="456">
        <v>0</v>
      </c>
      <c r="BF338" s="456">
        <f>338</f>
        <v>338</v>
      </c>
      <c r="BH338" s="456">
        <f>F338*AO338</f>
        <v>0</v>
      </c>
      <c r="BI338" s="456">
        <f>F338*AP338</f>
        <v>0</v>
      </c>
      <c r="BJ338" s="456">
        <f>F338*G338</f>
        <v>0</v>
      </c>
      <c r="BK338" s="456"/>
      <c r="BL338" s="456">
        <v>89</v>
      </c>
      <c r="BW338" s="456">
        <v>21</v>
      </c>
      <c r="BX338" s="459" t="s">
        <v>1000</v>
      </c>
    </row>
    <row r="339" spans="1:76" ht="13.5">
      <c r="A339" s="460"/>
      <c r="C339" s="461" t="s">
        <v>917</v>
      </c>
      <c r="D339" s="461" t="s">
        <v>648</v>
      </c>
      <c r="F339" s="462">
        <v>1</v>
      </c>
      <c r="K339" s="463"/>
    </row>
    <row r="340" spans="1:76" ht="13.5">
      <c r="A340" s="454" t="s">
        <v>1022</v>
      </c>
      <c r="B340" s="455" t="s">
        <v>1001</v>
      </c>
      <c r="C340" s="428" t="s">
        <v>1002</v>
      </c>
      <c r="D340" s="424"/>
      <c r="E340" s="455" t="s">
        <v>14</v>
      </c>
      <c r="F340" s="456">
        <v>1</v>
      </c>
      <c r="G340" s="456">
        <v>0</v>
      </c>
      <c r="H340" s="456">
        <f>F340*AO340</f>
        <v>0</v>
      </c>
      <c r="I340" s="456">
        <f>F340*AP340</f>
        <v>0</v>
      </c>
      <c r="J340" s="456">
        <f>F340*G340</f>
        <v>0</v>
      </c>
      <c r="K340" s="457" t="s">
        <v>1410</v>
      </c>
      <c r="Z340" s="456">
        <f>IF(AQ340="5",BJ340,0)</f>
        <v>0</v>
      </c>
      <c r="AB340" s="456">
        <f>IF(AQ340="1",BH340,0)</f>
        <v>0</v>
      </c>
      <c r="AC340" s="456">
        <f>IF(AQ340="1",BI340,0)</f>
        <v>0</v>
      </c>
      <c r="AD340" s="456">
        <f>IF(AQ340="7",BH340,0)</f>
        <v>0</v>
      </c>
      <c r="AE340" s="456">
        <f>IF(AQ340="7",BI340,0)</f>
        <v>0</v>
      </c>
      <c r="AF340" s="456">
        <f>IF(AQ340="2",BH340,0)</f>
        <v>0</v>
      </c>
      <c r="AG340" s="456">
        <f>IF(AQ340="2",BI340,0)</f>
        <v>0</v>
      </c>
      <c r="AH340" s="456">
        <f>IF(AQ340="0",BJ340,0)</f>
        <v>0</v>
      </c>
      <c r="AI340" s="438" t="s">
        <v>648</v>
      </c>
      <c r="AJ340" s="456">
        <f>IF(AN340=0,J340,0)</f>
        <v>0</v>
      </c>
      <c r="AK340" s="456">
        <f>IF(AN340=12,J340,0)</f>
        <v>0</v>
      </c>
      <c r="AL340" s="456">
        <f>IF(AN340=21,J340,0)</f>
        <v>0</v>
      </c>
      <c r="AN340" s="456">
        <v>21</v>
      </c>
      <c r="AO340" s="456">
        <f>G340*0.262399464</f>
        <v>0</v>
      </c>
      <c r="AP340" s="456">
        <f>G340*(1-0.262399464)</f>
        <v>0</v>
      </c>
      <c r="AQ340" s="458" t="s">
        <v>651</v>
      </c>
      <c r="AV340" s="456">
        <f>AW340+AX340</f>
        <v>0</v>
      </c>
      <c r="AW340" s="456">
        <f>F340*AO340</f>
        <v>0</v>
      </c>
      <c r="AX340" s="456">
        <f>F340*AP340</f>
        <v>0</v>
      </c>
      <c r="AY340" s="458" t="s">
        <v>985</v>
      </c>
      <c r="AZ340" s="458" t="s">
        <v>883</v>
      </c>
      <c r="BA340" s="438" t="s">
        <v>656</v>
      </c>
      <c r="BC340" s="456">
        <f>AW340+AX340</f>
        <v>0</v>
      </c>
      <c r="BD340" s="456">
        <f>G340/(100-BE340)*100</f>
        <v>0</v>
      </c>
      <c r="BE340" s="456">
        <v>0</v>
      </c>
      <c r="BF340" s="456">
        <f>340</f>
        <v>340</v>
      </c>
      <c r="BH340" s="456">
        <f>F340*AO340</f>
        <v>0</v>
      </c>
      <c r="BI340" s="456">
        <f>F340*AP340</f>
        <v>0</v>
      </c>
      <c r="BJ340" s="456">
        <f>F340*G340</f>
        <v>0</v>
      </c>
      <c r="BK340" s="456"/>
      <c r="BL340" s="456">
        <v>89</v>
      </c>
      <c r="BW340" s="456">
        <v>21</v>
      </c>
      <c r="BX340" s="459" t="s">
        <v>1002</v>
      </c>
    </row>
    <row r="341" spans="1:76" ht="13.5">
      <c r="A341" s="460"/>
      <c r="C341" s="461" t="s">
        <v>1003</v>
      </c>
      <c r="D341" s="461" t="s">
        <v>648</v>
      </c>
      <c r="F341" s="462">
        <v>1</v>
      </c>
      <c r="K341" s="463"/>
    </row>
    <row r="342" spans="1:76" ht="13.5">
      <c r="A342" s="454" t="s">
        <v>1025</v>
      </c>
      <c r="B342" s="455" t="s">
        <v>1005</v>
      </c>
      <c r="C342" s="428" t="s">
        <v>1006</v>
      </c>
      <c r="D342" s="424"/>
      <c r="E342" s="455" t="s">
        <v>14</v>
      </c>
      <c r="F342" s="456">
        <v>1</v>
      </c>
      <c r="G342" s="456">
        <v>0</v>
      </c>
      <c r="H342" s="456">
        <f>F342*AO342</f>
        <v>0</v>
      </c>
      <c r="I342" s="456">
        <f>F342*AP342</f>
        <v>0</v>
      </c>
      <c r="J342" s="456">
        <f>F342*G342</f>
        <v>0</v>
      </c>
      <c r="K342" s="457" t="s">
        <v>648</v>
      </c>
      <c r="Z342" s="456">
        <f>IF(AQ342="5",BJ342,0)</f>
        <v>0</v>
      </c>
      <c r="AB342" s="456">
        <f>IF(AQ342="1",BH342,0)</f>
        <v>0</v>
      </c>
      <c r="AC342" s="456">
        <f>IF(AQ342="1",BI342,0)</f>
        <v>0</v>
      </c>
      <c r="AD342" s="456">
        <f>IF(AQ342="7",BH342,0)</f>
        <v>0</v>
      </c>
      <c r="AE342" s="456">
        <f>IF(AQ342="7",BI342,0)</f>
        <v>0</v>
      </c>
      <c r="AF342" s="456">
        <f>IF(AQ342="2",BH342,0)</f>
        <v>0</v>
      </c>
      <c r="AG342" s="456">
        <f>IF(AQ342="2",BI342,0)</f>
        <v>0</v>
      </c>
      <c r="AH342" s="456">
        <f>IF(AQ342="0",BJ342,0)</f>
        <v>0</v>
      </c>
      <c r="AI342" s="438" t="s">
        <v>648</v>
      </c>
      <c r="AJ342" s="456">
        <f>IF(AN342=0,J342,0)</f>
        <v>0</v>
      </c>
      <c r="AK342" s="456">
        <f>IF(AN342=12,J342,0)</f>
        <v>0</v>
      </c>
      <c r="AL342" s="456">
        <f>IF(AN342=21,J342,0)</f>
        <v>0</v>
      </c>
      <c r="AN342" s="456">
        <v>21</v>
      </c>
      <c r="AO342" s="456">
        <f>G342*1</f>
        <v>0</v>
      </c>
      <c r="AP342" s="456">
        <f>G342*(1-1)</f>
        <v>0</v>
      </c>
      <c r="AQ342" s="458" t="s">
        <v>651</v>
      </c>
      <c r="AV342" s="456">
        <f>AW342+AX342</f>
        <v>0</v>
      </c>
      <c r="AW342" s="456">
        <f>F342*AO342</f>
        <v>0</v>
      </c>
      <c r="AX342" s="456">
        <f>F342*AP342</f>
        <v>0</v>
      </c>
      <c r="AY342" s="458" t="s">
        <v>985</v>
      </c>
      <c r="AZ342" s="458" t="s">
        <v>883</v>
      </c>
      <c r="BA342" s="438" t="s">
        <v>656</v>
      </c>
      <c r="BC342" s="456">
        <f>AW342+AX342</f>
        <v>0</v>
      </c>
      <c r="BD342" s="456">
        <f>G342/(100-BE342)*100</f>
        <v>0</v>
      </c>
      <c r="BE342" s="456">
        <v>0</v>
      </c>
      <c r="BF342" s="456">
        <f>342</f>
        <v>342</v>
      </c>
      <c r="BH342" s="456">
        <f>F342*AO342</f>
        <v>0</v>
      </c>
      <c r="BI342" s="456">
        <f>F342*AP342</f>
        <v>0</v>
      </c>
      <c r="BJ342" s="456">
        <f>F342*G342</f>
        <v>0</v>
      </c>
      <c r="BK342" s="456"/>
      <c r="BL342" s="456">
        <v>89</v>
      </c>
      <c r="BW342" s="456">
        <v>21</v>
      </c>
      <c r="BX342" s="459" t="s">
        <v>1006</v>
      </c>
    </row>
    <row r="343" spans="1:76" ht="13.5">
      <c r="A343" s="460"/>
      <c r="C343" s="461" t="s">
        <v>917</v>
      </c>
      <c r="D343" s="461" t="s">
        <v>648</v>
      </c>
      <c r="F343" s="462">
        <v>1</v>
      </c>
      <c r="K343" s="463"/>
    </row>
    <row r="344" spans="1:76" ht="13.5">
      <c r="A344" s="448" t="s">
        <v>648</v>
      </c>
      <c r="B344" s="449" t="s">
        <v>1283</v>
      </c>
      <c r="C344" s="450" t="s">
        <v>1400</v>
      </c>
      <c r="D344" s="451"/>
      <c r="E344" s="452" t="s">
        <v>607</v>
      </c>
      <c r="F344" s="452" t="s">
        <v>607</v>
      </c>
      <c r="G344" s="452" t="s">
        <v>607</v>
      </c>
      <c r="H344" s="416">
        <f>SUM(H345:H345)</f>
        <v>0</v>
      </c>
      <c r="I344" s="416">
        <f>SUM(I345:I345)</f>
        <v>0</v>
      </c>
      <c r="J344" s="416">
        <f>SUM(J345:J345)</f>
        <v>0</v>
      </c>
      <c r="K344" s="453" t="s">
        <v>648</v>
      </c>
      <c r="AI344" s="438" t="s">
        <v>648</v>
      </c>
      <c r="AS344" s="416">
        <f>SUM(AJ345:AJ345)</f>
        <v>0</v>
      </c>
      <c r="AT344" s="416">
        <f>SUM(AK345:AK345)</f>
        <v>0</v>
      </c>
      <c r="AU344" s="416">
        <f>SUM(AL345:AL345)</f>
        <v>0</v>
      </c>
    </row>
    <row r="345" spans="1:76" ht="13.5">
      <c r="A345" s="454" t="s">
        <v>1029</v>
      </c>
      <c r="B345" s="455" t="s">
        <v>1401</v>
      </c>
      <c r="C345" s="428" t="s">
        <v>1400</v>
      </c>
      <c r="D345" s="424"/>
      <c r="E345" s="455" t="s">
        <v>14</v>
      </c>
      <c r="F345" s="456">
        <v>3</v>
      </c>
      <c r="G345" s="456">
        <v>0</v>
      </c>
      <c r="H345" s="456">
        <f>F345*AO345</f>
        <v>0</v>
      </c>
      <c r="I345" s="456">
        <f>F345*AP345</f>
        <v>0</v>
      </c>
      <c r="J345" s="456">
        <f>F345*G345</f>
        <v>0</v>
      </c>
      <c r="K345" s="457" t="s">
        <v>648</v>
      </c>
      <c r="Z345" s="456">
        <f>IF(AQ345="5",BJ345,0)</f>
        <v>0</v>
      </c>
      <c r="AB345" s="456">
        <f>IF(AQ345="1",BH345,0)</f>
        <v>0</v>
      </c>
      <c r="AC345" s="456">
        <f>IF(AQ345="1",BI345,0)</f>
        <v>0</v>
      </c>
      <c r="AD345" s="456">
        <f>IF(AQ345="7",BH345,0)</f>
        <v>0</v>
      </c>
      <c r="AE345" s="456">
        <f>IF(AQ345="7",BI345,0)</f>
        <v>0</v>
      </c>
      <c r="AF345" s="456">
        <f>IF(AQ345="2",BH345,0)</f>
        <v>0</v>
      </c>
      <c r="AG345" s="456">
        <f>IF(AQ345="2",BI345,0)</f>
        <v>0</v>
      </c>
      <c r="AH345" s="456">
        <f>IF(AQ345="0",BJ345,0)</f>
        <v>0</v>
      </c>
      <c r="AI345" s="438" t="s">
        <v>648</v>
      </c>
      <c r="AJ345" s="456">
        <f>IF(AN345=0,J345,0)</f>
        <v>0</v>
      </c>
      <c r="AK345" s="456">
        <f>IF(AN345=12,J345,0)</f>
        <v>0</v>
      </c>
      <c r="AL345" s="456">
        <f>IF(AN345=21,J345,0)</f>
        <v>0</v>
      </c>
      <c r="AN345" s="456">
        <v>21</v>
      </c>
      <c r="AO345" s="456">
        <f>G345*0.14286</f>
        <v>0</v>
      </c>
      <c r="AP345" s="456">
        <f>G345*(1-0.14286)</f>
        <v>0</v>
      </c>
      <c r="AQ345" s="458" t="s">
        <v>651</v>
      </c>
      <c r="AV345" s="456">
        <f>AW345+AX345</f>
        <v>0</v>
      </c>
      <c r="AW345" s="456">
        <f>F345*AO345</f>
        <v>0</v>
      </c>
      <c r="AX345" s="456">
        <f>F345*AP345</f>
        <v>0</v>
      </c>
      <c r="AY345" s="458" t="s">
        <v>1287</v>
      </c>
      <c r="AZ345" s="458" t="s">
        <v>883</v>
      </c>
      <c r="BA345" s="438" t="s">
        <v>656</v>
      </c>
      <c r="BC345" s="456">
        <f>AW345+AX345</f>
        <v>0</v>
      </c>
      <c r="BD345" s="456">
        <f>G345/(100-BE345)*100</f>
        <v>0</v>
      </c>
      <c r="BE345" s="456">
        <v>0</v>
      </c>
      <c r="BF345" s="456">
        <f>345</f>
        <v>345</v>
      </c>
      <c r="BH345" s="456">
        <f>F345*AO345</f>
        <v>0</v>
      </c>
      <c r="BI345" s="456">
        <f>F345*AP345</f>
        <v>0</v>
      </c>
      <c r="BJ345" s="456">
        <f>F345*G345</f>
        <v>0</v>
      </c>
      <c r="BK345" s="456"/>
      <c r="BL345" s="456">
        <v>891</v>
      </c>
      <c r="BW345" s="456">
        <v>21</v>
      </c>
      <c r="BX345" s="459" t="s">
        <v>1400</v>
      </c>
    </row>
    <row r="346" spans="1:76" ht="13.5">
      <c r="A346" s="460"/>
      <c r="C346" s="461" t="s">
        <v>1402</v>
      </c>
      <c r="D346" s="461" t="s">
        <v>648</v>
      </c>
      <c r="F346" s="462">
        <v>3</v>
      </c>
      <c r="K346" s="463"/>
    </row>
    <row r="347" spans="1:76" ht="13.5">
      <c r="A347" s="448" t="s">
        <v>648</v>
      </c>
      <c r="B347" s="449" t="s">
        <v>1007</v>
      </c>
      <c r="C347" s="450" t="s">
        <v>1008</v>
      </c>
      <c r="D347" s="451"/>
      <c r="E347" s="452" t="s">
        <v>607</v>
      </c>
      <c r="F347" s="452" t="s">
        <v>607</v>
      </c>
      <c r="G347" s="452" t="s">
        <v>607</v>
      </c>
      <c r="H347" s="416">
        <f>SUM(H348:H348)</f>
        <v>0</v>
      </c>
      <c r="I347" s="416">
        <f>SUM(I348:I348)</f>
        <v>0</v>
      </c>
      <c r="J347" s="416">
        <f>SUM(J348:J348)</f>
        <v>0</v>
      </c>
      <c r="K347" s="453" t="s">
        <v>648</v>
      </c>
      <c r="AI347" s="438" t="s">
        <v>648</v>
      </c>
      <c r="AS347" s="416">
        <f>SUM(AJ348:AJ348)</f>
        <v>0</v>
      </c>
      <c r="AT347" s="416">
        <f>SUM(AK348:AK348)</f>
        <v>0</v>
      </c>
      <c r="AU347" s="416">
        <f>SUM(AL348:AL348)</f>
        <v>0</v>
      </c>
    </row>
    <row r="348" spans="1:76" ht="13.5">
      <c r="A348" s="454" t="s">
        <v>1034</v>
      </c>
      <c r="B348" s="455" t="s">
        <v>1010</v>
      </c>
      <c r="C348" s="428" t="s">
        <v>1011</v>
      </c>
      <c r="D348" s="424"/>
      <c r="E348" s="455" t="s">
        <v>14</v>
      </c>
      <c r="F348" s="456">
        <v>1</v>
      </c>
      <c r="G348" s="456">
        <v>0</v>
      </c>
      <c r="H348" s="456">
        <f>F348*AO348</f>
        <v>0</v>
      </c>
      <c r="I348" s="456">
        <f>F348*AP348</f>
        <v>0</v>
      </c>
      <c r="J348" s="456">
        <f>F348*G348</f>
        <v>0</v>
      </c>
      <c r="K348" s="457" t="s">
        <v>1516</v>
      </c>
      <c r="Z348" s="456">
        <f>IF(AQ348="5",BJ348,0)</f>
        <v>0</v>
      </c>
      <c r="AB348" s="456">
        <f>IF(AQ348="1",BH348,0)</f>
        <v>0</v>
      </c>
      <c r="AC348" s="456">
        <f>IF(AQ348="1",BI348,0)</f>
        <v>0</v>
      </c>
      <c r="AD348" s="456">
        <f>IF(AQ348="7",BH348,0)</f>
        <v>0</v>
      </c>
      <c r="AE348" s="456">
        <f>IF(AQ348="7",BI348,0)</f>
        <v>0</v>
      </c>
      <c r="AF348" s="456">
        <f>IF(AQ348="2",BH348,0)</f>
        <v>0</v>
      </c>
      <c r="AG348" s="456">
        <f>IF(AQ348="2",BI348,0)</f>
        <v>0</v>
      </c>
      <c r="AH348" s="456">
        <f>IF(AQ348="0",BJ348,0)</f>
        <v>0</v>
      </c>
      <c r="AI348" s="438" t="s">
        <v>648</v>
      </c>
      <c r="AJ348" s="456">
        <f>IF(AN348=0,J348,0)</f>
        <v>0</v>
      </c>
      <c r="AK348" s="456">
        <f>IF(AN348=12,J348,0)</f>
        <v>0</v>
      </c>
      <c r="AL348" s="456">
        <f>IF(AN348=21,J348,0)</f>
        <v>0</v>
      </c>
      <c r="AN348" s="456">
        <v>21</v>
      </c>
      <c r="AO348" s="456">
        <f>G348*0.52</f>
        <v>0</v>
      </c>
      <c r="AP348" s="456">
        <f>G348*(1-0.52)</f>
        <v>0</v>
      </c>
      <c r="AQ348" s="458" t="s">
        <v>651</v>
      </c>
      <c r="AV348" s="456">
        <f>AW348+AX348</f>
        <v>0</v>
      </c>
      <c r="AW348" s="456">
        <f>F348*AO348</f>
        <v>0</v>
      </c>
      <c r="AX348" s="456">
        <f>F348*AP348</f>
        <v>0</v>
      </c>
      <c r="AY348" s="458" t="s">
        <v>1012</v>
      </c>
      <c r="AZ348" s="458" t="s">
        <v>883</v>
      </c>
      <c r="BA348" s="438" t="s">
        <v>656</v>
      </c>
      <c r="BC348" s="456">
        <f>AW348+AX348</f>
        <v>0</v>
      </c>
      <c r="BD348" s="456">
        <f>G348/(100-BE348)*100</f>
        <v>0</v>
      </c>
      <c r="BE348" s="456">
        <v>0</v>
      </c>
      <c r="BF348" s="456">
        <f>348</f>
        <v>348</v>
      </c>
      <c r="BH348" s="456">
        <f>F348*AO348</f>
        <v>0</v>
      </c>
      <c r="BI348" s="456">
        <f>F348*AP348</f>
        <v>0</v>
      </c>
      <c r="BJ348" s="456">
        <f>F348*G348</f>
        <v>0</v>
      </c>
      <c r="BK348" s="456"/>
      <c r="BL348" s="456">
        <v>894</v>
      </c>
      <c r="BW348" s="456">
        <v>21</v>
      </c>
      <c r="BX348" s="459" t="s">
        <v>1011</v>
      </c>
    </row>
    <row r="349" spans="1:76" ht="13.5">
      <c r="A349" s="460"/>
      <c r="C349" s="461" t="s">
        <v>1013</v>
      </c>
      <c r="D349" s="461" t="s">
        <v>648</v>
      </c>
      <c r="F349" s="462">
        <v>1</v>
      </c>
      <c r="K349" s="463"/>
    </row>
    <row r="350" spans="1:76" ht="13.5">
      <c r="A350" s="448" t="s">
        <v>648</v>
      </c>
      <c r="B350" s="449" t="s">
        <v>1009</v>
      </c>
      <c r="C350" s="450" t="s">
        <v>1016</v>
      </c>
      <c r="D350" s="451"/>
      <c r="E350" s="452" t="s">
        <v>607</v>
      </c>
      <c r="F350" s="452" t="s">
        <v>607</v>
      </c>
      <c r="G350" s="452" t="s">
        <v>607</v>
      </c>
      <c r="H350" s="416">
        <f>SUM(H351:H358)</f>
        <v>0</v>
      </c>
      <c r="I350" s="416">
        <f>SUM(I351:I358)</f>
        <v>0</v>
      </c>
      <c r="J350" s="416">
        <f>SUM(J351:J358)</f>
        <v>0</v>
      </c>
      <c r="K350" s="453" t="s">
        <v>648</v>
      </c>
      <c r="AI350" s="438" t="s">
        <v>648</v>
      </c>
      <c r="AS350" s="416">
        <f>SUM(AJ351:AJ358)</f>
        <v>0</v>
      </c>
      <c r="AT350" s="416">
        <f>SUM(AK351:AK358)</f>
        <v>0</v>
      </c>
      <c r="AU350" s="416">
        <f>SUM(AL351:AL358)</f>
        <v>0</v>
      </c>
    </row>
    <row r="351" spans="1:76" ht="13.5">
      <c r="A351" s="454" t="s">
        <v>1040</v>
      </c>
      <c r="B351" s="455" t="s">
        <v>1018</v>
      </c>
      <c r="C351" s="428" t="s">
        <v>1403</v>
      </c>
      <c r="D351" s="424"/>
      <c r="E351" s="455" t="s">
        <v>7</v>
      </c>
      <c r="F351" s="456">
        <v>590</v>
      </c>
      <c r="G351" s="456">
        <v>0</v>
      </c>
      <c r="H351" s="456">
        <f>F351*AO351</f>
        <v>0</v>
      </c>
      <c r="I351" s="456">
        <f>F351*AP351</f>
        <v>0</v>
      </c>
      <c r="J351" s="456">
        <f>F351*G351</f>
        <v>0</v>
      </c>
      <c r="K351" s="457" t="s">
        <v>1410</v>
      </c>
      <c r="Z351" s="456">
        <f>IF(AQ351="5",BJ351,0)</f>
        <v>0</v>
      </c>
      <c r="AB351" s="456">
        <f>IF(AQ351="1",BH351,0)</f>
        <v>0</v>
      </c>
      <c r="AC351" s="456">
        <f>IF(AQ351="1",BI351,0)</f>
        <v>0</v>
      </c>
      <c r="AD351" s="456">
        <f>IF(AQ351="7",BH351,0)</f>
        <v>0</v>
      </c>
      <c r="AE351" s="456">
        <f>IF(AQ351="7",BI351,0)</f>
        <v>0</v>
      </c>
      <c r="AF351" s="456">
        <f>IF(AQ351="2",BH351,0)</f>
        <v>0</v>
      </c>
      <c r="AG351" s="456">
        <f>IF(AQ351="2",BI351,0)</f>
        <v>0</v>
      </c>
      <c r="AH351" s="456">
        <f>IF(AQ351="0",BJ351,0)</f>
        <v>0</v>
      </c>
      <c r="AI351" s="438" t="s">
        <v>648</v>
      </c>
      <c r="AJ351" s="456">
        <f>IF(AN351=0,J351,0)</f>
        <v>0</v>
      </c>
      <c r="AK351" s="456">
        <f>IF(AN351=12,J351,0)</f>
        <v>0</v>
      </c>
      <c r="AL351" s="456">
        <f>IF(AN351=21,J351,0)</f>
        <v>0</v>
      </c>
      <c r="AN351" s="456">
        <v>21</v>
      </c>
      <c r="AO351" s="456">
        <f>G351*0.56487395</f>
        <v>0</v>
      </c>
      <c r="AP351" s="456">
        <f>G351*(1-0.56487395)</f>
        <v>0</v>
      </c>
      <c r="AQ351" s="458" t="s">
        <v>651</v>
      </c>
      <c r="AV351" s="456">
        <f>AW351+AX351</f>
        <v>0</v>
      </c>
      <c r="AW351" s="456">
        <f>F351*AO351</f>
        <v>0</v>
      </c>
      <c r="AX351" s="456">
        <f>F351*AP351</f>
        <v>0</v>
      </c>
      <c r="AY351" s="458" t="s">
        <v>1404</v>
      </c>
      <c r="AZ351" s="458" t="s">
        <v>1015</v>
      </c>
      <c r="BA351" s="438" t="s">
        <v>656</v>
      </c>
      <c r="BC351" s="456">
        <f>AW351+AX351</f>
        <v>0</v>
      </c>
      <c r="BD351" s="456">
        <f>G351/(100-BE351)*100</f>
        <v>0</v>
      </c>
      <c r="BE351" s="456">
        <v>0</v>
      </c>
      <c r="BF351" s="456">
        <f>351</f>
        <v>351</v>
      </c>
      <c r="BH351" s="456">
        <f>F351*AO351</f>
        <v>0</v>
      </c>
      <c r="BI351" s="456">
        <f>F351*AP351</f>
        <v>0</v>
      </c>
      <c r="BJ351" s="456">
        <f>F351*G351</f>
        <v>0</v>
      </c>
      <c r="BK351" s="456"/>
      <c r="BL351" s="456">
        <v>91</v>
      </c>
      <c r="BW351" s="456">
        <v>21</v>
      </c>
      <c r="BX351" s="459" t="s">
        <v>1403</v>
      </c>
    </row>
    <row r="352" spans="1:76" ht="13.5">
      <c r="A352" s="460"/>
      <c r="C352" s="461" t="s">
        <v>1341</v>
      </c>
      <c r="D352" s="461" t="s">
        <v>648</v>
      </c>
      <c r="F352" s="462">
        <v>12</v>
      </c>
      <c r="K352" s="463"/>
    </row>
    <row r="353" spans="1:76" ht="13.5">
      <c r="A353" s="460"/>
      <c r="C353" s="461" t="s">
        <v>671</v>
      </c>
      <c r="D353" s="461" t="s">
        <v>648</v>
      </c>
      <c r="F353" s="462">
        <v>0</v>
      </c>
      <c r="K353" s="463"/>
    </row>
    <row r="354" spans="1:76" ht="13.5">
      <c r="A354" s="460"/>
      <c r="C354" s="461" t="s">
        <v>674</v>
      </c>
      <c r="D354" s="461" t="s">
        <v>648</v>
      </c>
      <c r="F354" s="462">
        <v>0</v>
      </c>
      <c r="K354" s="463"/>
    </row>
    <row r="355" spans="1:76" ht="13.5">
      <c r="A355" s="460"/>
      <c r="C355" s="461" t="s">
        <v>1405</v>
      </c>
      <c r="D355" s="461" t="s">
        <v>648</v>
      </c>
      <c r="F355" s="462">
        <v>578</v>
      </c>
      <c r="K355" s="463"/>
    </row>
    <row r="356" spans="1:76" ht="13.5">
      <c r="A356" s="460"/>
      <c r="C356" s="461" t="s">
        <v>1338</v>
      </c>
      <c r="D356" s="461" t="s">
        <v>648</v>
      </c>
      <c r="F356" s="462">
        <v>0</v>
      </c>
      <c r="K356" s="463"/>
    </row>
    <row r="357" spans="1:76" ht="13.5">
      <c r="A357" s="460"/>
      <c r="C357" s="461" t="s">
        <v>672</v>
      </c>
      <c r="D357" s="461" t="s">
        <v>648</v>
      </c>
      <c r="F357" s="462">
        <v>0</v>
      </c>
      <c r="K357" s="463"/>
    </row>
    <row r="358" spans="1:76" ht="13.5">
      <c r="A358" s="454" t="s">
        <v>1047</v>
      </c>
      <c r="B358" s="455" t="s">
        <v>1020</v>
      </c>
      <c r="C358" s="428" t="s">
        <v>1021</v>
      </c>
      <c r="D358" s="424"/>
      <c r="E358" s="455" t="s">
        <v>7</v>
      </c>
      <c r="F358" s="456">
        <v>590</v>
      </c>
      <c r="G358" s="456">
        <v>0</v>
      </c>
      <c r="H358" s="456">
        <f>F358*AO358</f>
        <v>0</v>
      </c>
      <c r="I358" s="456">
        <f>F358*AP358</f>
        <v>0</v>
      </c>
      <c r="J358" s="456">
        <f>F358*G358</f>
        <v>0</v>
      </c>
      <c r="K358" s="457" t="s">
        <v>1410</v>
      </c>
      <c r="Z358" s="456">
        <f>IF(AQ358="5",BJ358,0)</f>
        <v>0</v>
      </c>
      <c r="AB358" s="456">
        <f>IF(AQ358="1",BH358,0)</f>
        <v>0</v>
      </c>
      <c r="AC358" s="456">
        <f>IF(AQ358="1",BI358,0)</f>
        <v>0</v>
      </c>
      <c r="AD358" s="456">
        <f>IF(AQ358="7",BH358,0)</f>
        <v>0</v>
      </c>
      <c r="AE358" s="456">
        <f>IF(AQ358="7",BI358,0)</f>
        <v>0</v>
      </c>
      <c r="AF358" s="456">
        <f>IF(AQ358="2",BH358,0)</f>
        <v>0</v>
      </c>
      <c r="AG358" s="456">
        <f>IF(AQ358="2",BI358,0)</f>
        <v>0</v>
      </c>
      <c r="AH358" s="456">
        <f>IF(AQ358="0",BJ358,0)</f>
        <v>0</v>
      </c>
      <c r="AI358" s="438" t="s">
        <v>648</v>
      </c>
      <c r="AJ358" s="456">
        <f>IF(AN358=0,J358,0)</f>
        <v>0</v>
      </c>
      <c r="AK358" s="456">
        <f>IF(AN358=12,J358,0)</f>
        <v>0</v>
      </c>
      <c r="AL358" s="456">
        <f>IF(AN358=21,J358,0)</f>
        <v>0</v>
      </c>
      <c r="AN358" s="456">
        <v>21</v>
      </c>
      <c r="AO358" s="456">
        <f>G358*0</f>
        <v>0</v>
      </c>
      <c r="AP358" s="456">
        <f>G358*(1-0)</f>
        <v>0</v>
      </c>
      <c r="AQ358" s="458" t="s">
        <v>651</v>
      </c>
      <c r="AV358" s="456">
        <f>AW358+AX358</f>
        <v>0</v>
      </c>
      <c r="AW358" s="456">
        <f>F358*AO358</f>
        <v>0</v>
      </c>
      <c r="AX358" s="456">
        <f>F358*AP358</f>
        <v>0</v>
      </c>
      <c r="AY358" s="458" t="s">
        <v>1404</v>
      </c>
      <c r="AZ358" s="458" t="s">
        <v>1015</v>
      </c>
      <c r="BA358" s="438" t="s">
        <v>656</v>
      </c>
      <c r="BC358" s="456">
        <f>AW358+AX358</f>
        <v>0</v>
      </c>
      <c r="BD358" s="456">
        <f>G358/(100-BE358)*100</f>
        <v>0</v>
      </c>
      <c r="BE358" s="456">
        <v>0</v>
      </c>
      <c r="BF358" s="456">
        <f>358</f>
        <v>358</v>
      </c>
      <c r="BH358" s="456">
        <f>F358*AO358</f>
        <v>0</v>
      </c>
      <c r="BI358" s="456">
        <f>F358*AP358</f>
        <v>0</v>
      </c>
      <c r="BJ358" s="456">
        <f>F358*G358</f>
        <v>0</v>
      </c>
      <c r="BK358" s="456"/>
      <c r="BL358" s="456">
        <v>91</v>
      </c>
      <c r="BW358" s="456">
        <v>21</v>
      </c>
      <c r="BX358" s="459" t="s">
        <v>1021</v>
      </c>
    </row>
    <row r="359" spans="1:76" ht="13.5">
      <c r="A359" s="460"/>
      <c r="C359" s="461" t="s">
        <v>1406</v>
      </c>
      <c r="D359" s="461" t="s">
        <v>648</v>
      </c>
      <c r="F359" s="462">
        <v>590</v>
      </c>
      <c r="K359" s="463"/>
    </row>
    <row r="360" spans="1:76" ht="13.5">
      <c r="A360" s="448" t="s">
        <v>648</v>
      </c>
      <c r="B360" s="449" t="s">
        <v>1029</v>
      </c>
      <c r="C360" s="450" t="s">
        <v>1517</v>
      </c>
      <c r="D360" s="451"/>
      <c r="E360" s="452" t="s">
        <v>607</v>
      </c>
      <c r="F360" s="452" t="s">
        <v>607</v>
      </c>
      <c r="G360" s="452" t="s">
        <v>607</v>
      </c>
      <c r="H360" s="416">
        <f>SUM(H361:H361)</f>
        <v>0</v>
      </c>
      <c r="I360" s="416">
        <f>SUM(I361:I361)</f>
        <v>0</v>
      </c>
      <c r="J360" s="416">
        <f>SUM(J361:J361)</f>
        <v>0</v>
      </c>
      <c r="K360" s="453" t="s">
        <v>648</v>
      </c>
      <c r="AI360" s="438" t="s">
        <v>648</v>
      </c>
      <c r="AS360" s="416">
        <f>SUM(AJ361:AJ361)</f>
        <v>0</v>
      </c>
      <c r="AT360" s="416">
        <f>SUM(AK361:AK361)</f>
        <v>0</v>
      </c>
      <c r="AU360" s="416">
        <f>SUM(AL361:AL361)</f>
        <v>0</v>
      </c>
    </row>
    <row r="361" spans="1:76" ht="13.5">
      <c r="A361" s="454" t="s">
        <v>1051</v>
      </c>
      <c r="B361" s="455" t="s">
        <v>1518</v>
      </c>
      <c r="C361" s="428" t="s">
        <v>1519</v>
      </c>
      <c r="D361" s="424"/>
      <c r="E361" s="455" t="s">
        <v>40</v>
      </c>
      <c r="F361" s="456">
        <v>213.8</v>
      </c>
      <c r="G361" s="456">
        <v>0</v>
      </c>
      <c r="H361" s="456">
        <f>F361*AO361</f>
        <v>0</v>
      </c>
      <c r="I361" s="456">
        <f>F361*AP361</f>
        <v>0</v>
      </c>
      <c r="J361" s="456">
        <f>F361*G361</f>
        <v>0</v>
      </c>
      <c r="K361" s="457" t="s">
        <v>1410</v>
      </c>
      <c r="Z361" s="456">
        <f>IF(AQ361="5",BJ361,0)</f>
        <v>0</v>
      </c>
      <c r="AB361" s="456">
        <f>IF(AQ361="1",BH361,0)</f>
        <v>0</v>
      </c>
      <c r="AC361" s="456">
        <f>IF(AQ361="1",BI361,0)</f>
        <v>0</v>
      </c>
      <c r="AD361" s="456">
        <f>IF(AQ361="7",BH361,0)</f>
        <v>0</v>
      </c>
      <c r="AE361" s="456">
        <f>IF(AQ361="7",BI361,0)</f>
        <v>0</v>
      </c>
      <c r="AF361" s="456">
        <f>IF(AQ361="2",BH361,0)</f>
        <v>0</v>
      </c>
      <c r="AG361" s="456">
        <f>IF(AQ361="2",BI361,0)</f>
        <v>0</v>
      </c>
      <c r="AH361" s="456">
        <f>IF(AQ361="0",BJ361,0)</f>
        <v>0</v>
      </c>
      <c r="AI361" s="438" t="s">
        <v>648</v>
      </c>
      <c r="AJ361" s="456">
        <f>IF(AN361=0,J361,0)</f>
        <v>0</v>
      </c>
      <c r="AK361" s="456">
        <f>IF(AN361=12,J361,0)</f>
        <v>0</v>
      </c>
      <c r="AL361" s="456">
        <f>IF(AN361=21,J361,0)</f>
        <v>0</v>
      </c>
      <c r="AN361" s="456">
        <v>21</v>
      </c>
      <c r="AO361" s="456">
        <f>G361*0</f>
        <v>0</v>
      </c>
      <c r="AP361" s="456">
        <f>G361*(1-0)</f>
        <v>0</v>
      </c>
      <c r="AQ361" s="458" t="s">
        <v>651</v>
      </c>
      <c r="AV361" s="456">
        <f>AW361+AX361</f>
        <v>0</v>
      </c>
      <c r="AW361" s="456">
        <f>F361*AO361</f>
        <v>0</v>
      </c>
      <c r="AX361" s="456">
        <f>F361*AP361</f>
        <v>0</v>
      </c>
      <c r="AY361" s="458" t="s">
        <v>1520</v>
      </c>
      <c r="AZ361" s="458" t="s">
        <v>1015</v>
      </c>
      <c r="BA361" s="438" t="s">
        <v>656</v>
      </c>
      <c r="BC361" s="456">
        <f>AW361+AX361</f>
        <v>0</v>
      </c>
      <c r="BD361" s="456">
        <f>G361/(100-BE361)*100</f>
        <v>0</v>
      </c>
      <c r="BE361" s="456">
        <v>0</v>
      </c>
      <c r="BF361" s="456">
        <f>361</f>
        <v>361</v>
      </c>
      <c r="BH361" s="456">
        <f>F361*AO361</f>
        <v>0</v>
      </c>
      <c r="BI361" s="456">
        <f>F361*AP361</f>
        <v>0</v>
      </c>
      <c r="BJ361" s="456">
        <f>F361*G361</f>
        <v>0</v>
      </c>
      <c r="BK361" s="456"/>
      <c r="BL361" s="456">
        <v>97</v>
      </c>
      <c r="BW361" s="456">
        <v>21</v>
      </c>
      <c r="BX361" s="459" t="s">
        <v>1519</v>
      </c>
    </row>
    <row r="362" spans="1:76" ht="13.5">
      <c r="A362" s="460"/>
      <c r="C362" s="461" t="s">
        <v>1515</v>
      </c>
      <c r="D362" s="461" t="s">
        <v>648</v>
      </c>
      <c r="F362" s="462">
        <v>213.8</v>
      </c>
      <c r="K362" s="463"/>
    </row>
    <row r="363" spans="1:76" ht="13.5">
      <c r="A363" s="448" t="s">
        <v>648</v>
      </c>
      <c r="B363" s="449" t="s">
        <v>1023</v>
      </c>
      <c r="C363" s="450" t="s">
        <v>1024</v>
      </c>
      <c r="D363" s="451"/>
      <c r="E363" s="452" t="s">
        <v>607</v>
      </c>
      <c r="F363" s="452" t="s">
        <v>607</v>
      </c>
      <c r="G363" s="452" t="s">
        <v>607</v>
      </c>
      <c r="H363" s="416">
        <f>SUM(H364:H366)</f>
        <v>0</v>
      </c>
      <c r="I363" s="416">
        <f>SUM(I364:I366)</f>
        <v>0</v>
      </c>
      <c r="J363" s="416">
        <f>SUM(J364:J366)</f>
        <v>0</v>
      </c>
      <c r="K363" s="453" t="s">
        <v>648</v>
      </c>
      <c r="AI363" s="438" t="s">
        <v>648</v>
      </c>
      <c r="AS363" s="416">
        <f>SUM(AJ364:AJ366)</f>
        <v>0</v>
      </c>
      <c r="AT363" s="416">
        <f>SUM(AK364:AK366)</f>
        <v>0</v>
      </c>
      <c r="AU363" s="416">
        <f>SUM(AL364:AL366)</f>
        <v>0</v>
      </c>
    </row>
    <row r="364" spans="1:76" ht="13.5">
      <c r="A364" s="454" t="s">
        <v>1053</v>
      </c>
      <c r="B364" s="455" t="s">
        <v>1026</v>
      </c>
      <c r="C364" s="428" t="s">
        <v>1027</v>
      </c>
      <c r="D364" s="424"/>
      <c r="E364" s="455" t="s">
        <v>10</v>
      </c>
      <c r="F364" s="456">
        <v>607.00220999999999</v>
      </c>
      <c r="G364" s="456">
        <v>0</v>
      </c>
      <c r="H364" s="456">
        <f>F364*AO364</f>
        <v>0</v>
      </c>
      <c r="I364" s="456">
        <f>F364*AP364</f>
        <v>0</v>
      </c>
      <c r="J364" s="456">
        <f>F364*G364</f>
        <v>0</v>
      </c>
      <c r="K364" s="457" t="s">
        <v>1410</v>
      </c>
      <c r="Z364" s="456">
        <f>IF(AQ364="5",BJ364,0)</f>
        <v>0</v>
      </c>
      <c r="AB364" s="456">
        <f>IF(AQ364="1",BH364,0)</f>
        <v>0</v>
      </c>
      <c r="AC364" s="456">
        <f>IF(AQ364="1",BI364,0)</f>
        <v>0</v>
      </c>
      <c r="AD364" s="456">
        <f>IF(AQ364="7",BH364,0)</f>
        <v>0</v>
      </c>
      <c r="AE364" s="456">
        <f>IF(AQ364="7",BI364,0)</f>
        <v>0</v>
      </c>
      <c r="AF364" s="456">
        <f>IF(AQ364="2",BH364,0)</f>
        <v>0</v>
      </c>
      <c r="AG364" s="456">
        <f>IF(AQ364="2",BI364,0)</f>
        <v>0</v>
      </c>
      <c r="AH364" s="456">
        <f>IF(AQ364="0",BJ364,0)</f>
        <v>0</v>
      </c>
      <c r="AI364" s="438" t="s">
        <v>648</v>
      </c>
      <c r="AJ364" s="456">
        <f>IF(AN364=0,J364,0)</f>
        <v>0</v>
      </c>
      <c r="AK364" s="456">
        <f>IF(AN364=12,J364,0)</f>
        <v>0</v>
      </c>
      <c r="AL364" s="456">
        <f>IF(AN364=21,J364,0)</f>
        <v>0</v>
      </c>
      <c r="AN364" s="456">
        <v>21</v>
      </c>
      <c r="AO364" s="456">
        <f>G364*0</f>
        <v>0</v>
      </c>
      <c r="AP364" s="456">
        <f>G364*(1-0)</f>
        <v>0</v>
      </c>
      <c r="AQ364" s="458" t="s">
        <v>673</v>
      </c>
      <c r="AV364" s="456">
        <f>AW364+AX364</f>
        <v>0</v>
      </c>
      <c r="AW364" s="456">
        <f>F364*AO364</f>
        <v>0</v>
      </c>
      <c r="AX364" s="456">
        <f>F364*AP364</f>
        <v>0</v>
      </c>
      <c r="AY364" s="458" t="s">
        <v>1028</v>
      </c>
      <c r="AZ364" s="458" t="s">
        <v>1015</v>
      </c>
      <c r="BA364" s="438" t="s">
        <v>656</v>
      </c>
      <c r="BC364" s="456">
        <f>AW364+AX364</f>
        <v>0</v>
      </c>
      <c r="BD364" s="456">
        <f>G364/(100-BE364)*100</f>
        <v>0</v>
      </c>
      <c r="BE364" s="456">
        <v>0</v>
      </c>
      <c r="BF364" s="456">
        <f>364</f>
        <v>364</v>
      </c>
      <c r="BH364" s="456">
        <f>F364*AO364</f>
        <v>0</v>
      </c>
      <c r="BI364" s="456">
        <f>F364*AP364</f>
        <v>0</v>
      </c>
      <c r="BJ364" s="456">
        <f>F364*G364</f>
        <v>0</v>
      </c>
      <c r="BK364" s="456"/>
      <c r="BL364" s="456"/>
      <c r="BW364" s="456">
        <v>21</v>
      </c>
      <c r="BX364" s="459" t="s">
        <v>1027</v>
      </c>
    </row>
    <row r="365" spans="1:76" ht="13.5">
      <c r="A365" s="460"/>
      <c r="C365" s="461" t="s">
        <v>1521</v>
      </c>
      <c r="D365" s="461" t="s">
        <v>648</v>
      </c>
      <c r="F365" s="462">
        <v>607.00220999999999</v>
      </c>
      <c r="K365" s="463"/>
    </row>
    <row r="366" spans="1:76" ht="13.5">
      <c r="A366" s="454" t="s">
        <v>1056</v>
      </c>
      <c r="B366" s="455" t="s">
        <v>1030</v>
      </c>
      <c r="C366" s="428" t="s">
        <v>1031</v>
      </c>
      <c r="D366" s="424"/>
      <c r="E366" s="455" t="s">
        <v>10</v>
      </c>
      <c r="F366" s="456">
        <v>96.616219999999998</v>
      </c>
      <c r="G366" s="456">
        <v>0</v>
      </c>
      <c r="H366" s="456">
        <f>F366*AO366</f>
        <v>0</v>
      </c>
      <c r="I366" s="456">
        <f>F366*AP366</f>
        <v>0</v>
      </c>
      <c r="J366" s="456">
        <f>F366*G366</f>
        <v>0</v>
      </c>
      <c r="K366" s="457" t="s">
        <v>1410</v>
      </c>
      <c r="Z366" s="456">
        <f>IF(AQ366="5",BJ366,0)</f>
        <v>0</v>
      </c>
      <c r="AB366" s="456">
        <f>IF(AQ366="1",BH366,0)</f>
        <v>0</v>
      </c>
      <c r="AC366" s="456">
        <f>IF(AQ366="1",BI366,0)</f>
        <v>0</v>
      </c>
      <c r="AD366" s="456">
        <f>IF(AQ366="7",BH366,0)</f>
        <v>0</v>
      </c>
      <c r="AE366" s="456">
        <f>IF(AQ366="7",BI366,0)</f>
        <v>0</v>
      </c>
      <c r="AF366" s="456">
        <f>IF(AQ366="2",BH366,0)</f>
        <v>0</v>
      </c>
      <c r="AG366" s="456">
        <f>IF(AQ366="2",BI366,0)</f>
        <v>0</v>
      </c>
      <c r="AH366" s="456">
        <f>IF(AQ366="0",BJ366,0)</f>
        <v>0</v>
      </c>
      <c r="AI366" s="438" t="s">
        <v>648</v>
      </c>
      <c r="AJ366" s="456">
        <f>IF(AN366=0,J366,0)</f>
        <v>0</v>
      </c>
      <c r="AK366" s="456">
        <f>IF(AN366=12,J366,0)</f>
        <v>0</v>
      </c>
      <c r="AL366" s="456">
        <f>IF(AN366=21,J366,0)</f>
        <v>0</v>
      </c>
      <c r="AN366" s="456">
        <v>21</v>
      </c>
      <c r="AO366" s="456">
        <f>G366*0</f>
        <v>0</v>
      </c>
      <c r="AP366" s="456">
        <f>G366*(1-0)</f>
        <v>0</v>
      </c>
      <c r="AQ366" s="458" t="s">
        <v>673</v>
      </c>
      <c r="AV366" s="456">
        <f>AW366+AX366</f>
        <v>0</v>
      </c>
      <c r="AW366" s="456">
        <f>F366*AO366</f>
        <v>0</v>
      </c>
      <c r="AX366" s="456">
        <f>F366*AP366</f>
        <v>0</v>
      </c>
      <c r="AY366" s="458" t="s">
        <v>1028</v>
      </c>
      <c r="AZ366" s="458" t="s">
        <v>1015</v>
      </c>
      <c r="BA366" s="438" t="s">
        <v>656</v>
      </c>
      <c r="BC366" s="456">
        <f>AW366+AX366</f>
        <v>0</v>
      </c>
      <c r="BD366" s="456">
        <f>G366/(100-BE366)*100</f>
        <v>0</v>
      </c>
      <c r="BE366" s="456">
        <v>0</v>
      </c>
      <c r="BF366" s="456">
        <f>366</f>
        <v>366</v>
      </c>
      <c r="BH366" s="456">
        <f>F366*AO366</f>
        <v>0</v>
      </c>
      <c r="BI366" s="456">
        <f>F366*AP366</f>
        <v>0</v>
      </c>
      <c r="BJ366" s="456">
        <f>F366*G366</f>
        <v>0</v>
      </c>
      <c r="BK366" s="456"/>
      <c r="BL366" s="456"/>
      <c r="BW366" s="456">
        <v>21</v>
      </c>
      <c r="BX366" s="459" t="s">
        <v>1031</v>
      </c>
    </row>
    <row r="367" spans="1:76" ht="13.5">
      <c r="A367" s="460"/>
      <c r="C367" s="461" t="s">
        <v>1522</v>
      </c>
      <c r="D367" s="461" t="s">
        <v>648</v>
      </c>
      <c r="F367" s="462">
        <v>96.616219999999998</v>
      </c>
      <c r="K367" s="463"/>
    </row>
    <row r="368" spans="1:76" ht="13.5">
      <c r="A368" s="448" t="s">
        <v>648</v>
      </c>
      <c r="B368" s="449" t="s">
        <v>1032</v>
      </c>
      <c r="C368" s="450" t="s">
        <v>1033</v>
      </c>
      <c r="D368" s="451"/>
      <c r="E368" s="452" t="s">
        <v>607</v>
      </c>
      <c r="F368" s="452" t="s">
        <v>607</v>
      </c>
      <c r="G368" s="452" t="s">
        <v>607</v>
      </c>
      <c r="H368" s="416">
        <f>SUM(H369:H369)</f>
        <v>0</v>
      </c>
      <c r="I368" s="416">
        <f>SUM(I369:I369)</f>
        <v>0</v>
      </c>
      <c r="J368" s="416">
        <f>SUM(J369:J369)</f>
        <v>0</v>
      </c>
      <c r="K368" s="453" t="s">
        <v>648</v>
      </c>
      <c r="AI368" s="438" t="s">
        <v>648</v>
      </c>
      <c r="AS368" s="416">
        <f>SUM(AJ369:AJ369)</f>
        <v>0</v>
      </c>
      <c r="AT368" s="416">
        <f>SUM(AK369:AK369)</f>
        <v>0</v>
      </c>
      <c r="AU368" s="416">
        <f>SUM(AL369:AL369)</f>
        <v>0</v>
      </c>
    </row>
    <row r="369" spans="1:76" ht="13.5">
      <c r="A369" s="454" t="s">
        <v>1059</v>
      </c>
      <c r="B369" s="455" t="s">
        <v>1035</v>
      </c>
      <c r="C369" s="428" t="s">
        <v>1036</v>
      </c>
      <c r="D369" s="424"/>
      <c r="E369" s="455" t="s">
        <v>10</v>
      </c>
      <c r="F369" s="456">
        <v>2233.6776599999998</v>
      </c>
      <c r="G369" s="456">
        <v>0</v>
      </c>
      <c r="H369" s="456">
        <f>F369*AO369</f>
        <v>0</v>
      </c>
      <c r="I369" s="456">
        <f>F369*AP369</f>
        <v>0</v>
      </c>
      <c r="J369" s="456">
        <f>F369*G369</f>
        <v>0</v>
      </c>
      <c r="K369" s="457" t="s">
        <v>1410</v>
      </c>
      <c r="Z369" s="456">
        <f>IF(AQ369="5",BJ369,0)</f>
        <v>0</v>
      </c>
      <c r="AB369" s="456">
        <f>IF(AQ369="1",BH369,0)</f>
        <v>0</v>
      </c>
      <c r="AC369" s="456">
        <f>IF(AQ369="1",BI369,0)</f>
        <v>0</v>
      </c>
      <c r="AD369" s="456">
        <f>IF(AQ369="7",BH369,0)</f>
        <v>0</v>
      </c>
      <c r="AE369" s="456">
        <f>IF(AQ369="7",BI369,0)</f>
        <v>0</v>
      </c>
      <c r="AF369" s="456">
        <f>IF(AQ369="2",BH369,0)</f>
        <v>0</v>
      </c>
      <c r="AG369" s="456">
        <f>IF(AQ369="2",BI369,0)</f>
        <v>0</v>
      </c>
      <c r="AH369" s="456">
        <f>IF(AQ369="0",BJ369,0)</f>
        <v>0</v>
      </c>
      <c r="AI369" s="438" t="s">
        <v>648</v>
      </c>
      <c r="AJ369" s="456">
        <f>IF(AN369=0,J369,0)</f>
        <v>0</v>
      </c>
      <c r="AK369" s="456">
        <f>IF(AN369=12,J369,0)</f>
        <v>0</v>
      </c>
      <c r="AL369" s="456">
        <f>IF(AN369=21,J369,0)</f>
        <v>0</v>
      </c>
      <c r="AN369" s="456">
        <v>21</v>
      </c>
      <c r="AO369" s="456">
        <f>G369*0</f>
        <v>0</v>
      </c>
      <c r="AP369" s="456">
        <f>G369*(1-0)</f>
        <v>0</v>
      </c>
      <c r="AQ369" s="458" t="s">
        <v>673</v>
      </c>
      <c r="AV369" s="456">
        <f>AW369+AX369</f>
        <v>0</v>
      </c>
      <c r="AW369" s="456">
        <f>F369*AO369</f>
        <v>0</v>
      </c>
      <c r="AX369" s="456">
        <f>F369*AP369</f>
        <v>0</v>
      </c>
      <c r="AY369" s="458" t="s">
        <v>1037</v>
      </c>
      <c r="AZ369" s="458" t="s">
        <v>1015</v>
      </c>
      <c r="BA369" s="438" t="s">
        <v>656</v>
      </c>
      <c r="BC369" s="456">
        <f>AW369+AX369</f>
        <v>0</v>
      </c>
      <c r="BD369" s="456">
        <f>G369/(100-BE369)*100</f>
        <v>0</v>
      </c>
      <c r="BE369" s="456">
        <v>0</v>
      </c>
      <c r="BF369" s="456">
        <f>369</f>
        <v>369</v>
      </c>
      <c r="BH369" s="456">
        <f>F369*AO369</f>
        <v>0</v>
      </c>
      <c r="BI369" s="456">
        <f>F369*AP369</f>
        <v>0</v>
      </c>
      <c r="BJ369" s="456">
        <f>F369*G369</f>
        <v>0</v>
      </c>
      <c r="BK369" s="456"/>
      <c r="BL369" s="456"/>
      <c r="BW369" s="456">
        <v>21</v>
      </c>
      <c r="BX369" s="459" t="s">
        <v>1036</v>
      </c>
    </row>
    <row r="370" spans="1:76" ht="13.5">
      <c r="A370" s="460"/>
      <c r="C370" s="461" t="s">
        <v>1523</v>
      </c>
      <c r="D370" s="461" t="s">
        <v>648</v>
      </c>
      <c r="F370" s="462">
        <v>2233.6776599999998</v>
      </c>
      <c r="K370" s="463"/>
    </row>
    <row r="371" spans="1:76" ht="13.5">
      <c r="A371" s="448" t="s">
        <v>648</v>
      </c>
      <c r="B371" s="449" t="s">
        <v>1038</v>
      </c>
      <c r="C371" s="450" t="s">
        <v>1039</v>
      </c>
      <c r="D371" s="451"/>
      <c r="E371" s="452" t="s">
        <v>607</v>
      </c>
      <c r="F371" s="452" t="s">
        <v>607</v>
      </c>
      <c r="G371" s="452" t="s">
        <v>607</v>
      </c>
      <c r="H371" s="416">
        <f>SUM(H372:H372)</f>
        <v>0</v>
      </c>
      <c r="I371" s="416">
        <f>SUM(I372:I372)</f>
        <v>0</v>
      </c>
      <c r="J371" s="416">
        <f>SUM(J372:J372)</f>
        <v>0</v>
      </c>
      <c r="K371" s="453" t="s">
        <v>648</v>
      </c>
      <c r="AI371" s="438" t="s">
        <v>648</v>
      </c>
      <c r="AS371" s="416">
        <f>SUM(AJ372:AJ372)</f>
        <v>0</v>
      </c>
      <c r="AT371" s="416">
        <f>SUM(AK372:AK372)</f>
        <v>0</v>
      </c>
      <c r="AU371" s="416">
        <f>SUM(AL372:AL372)</f>
        <v>0</v>
      </c>
    </row>
    <row r="372" spans="1:76" ht="13.5">
      <c r="A372" s="454" t="s">
        <v>1060</v>
      </c>
      <c r="B372" s="455" t="s">
        <v>1041</v>
      </c>
      <c r="C372" s="428" t="s">
        <v>1042</v>
      </c>
      <c r="D372" s="424"/>
      <c r="E372" s="455" t="s">
        <v>687</v>
      </c>
      <c r="F372" s="456">
        <v>0.18</v>
      </c>
      <c r="G372" s="456">
        <v>0</v>
      </c>
      <c r="H372" s="456">
        <f>F372*AO372</f>
        <v>0</v>
      </c>
      <c r="I372" s="456">
        <f>F372*AP372</f>
        <v>0</v>
      </c>
      <c r="J372" s="456">
        <f>F372*G372</f>
        <v>0</v>
      </c>
      <c r="K372" s="457" t="s">
        <v>1410</v>
      </c>
      <c r="Z372" s="456">
        <f>IF(AQ372="5",BJ372,0)</f>
        <v>0</v>
      </c>
      <c r="AB372" s="456">
        <f>IF(AQ372="1",BH372,0)</f>
        <v>0</v>
      </c>
      <c r="AC372" s="456">
        <f>IF(AQ372="1",BI372,0)</f>
        <v>0</v>
      </c>
      <c r="AD372" s="456">
        <f>IF(AQ372="7",BH372,0)</f>
        <v>0</v>
      </c>
      <c r="AE372" s="456">
        <f>IF(AQ372="7",BI372,0)</f>
        <v>0</v>
      </c>
      <c r="AF372" s="456">
        <f>IF(AQ372="2",BH372,0)</f>
        <v>0</v>
      </c>
      <c r="AG372" s="456">
        <f>IF(AQ372="2",BI372,0)</f>
        <v>0</v>
      </c>
      <c r="AH372" s="456">
        <f>IF(AQ372="0",BJ372,0)</f>
        <v>0</v>
      </c>
      <c r="AI372" s="438" t="s">
        <v>648</v>
      </c>
      <c r="AJ372" s="456">
        <f>IF(AN372=0,J372,0)</f>
        <v>0</v>
      </c>
      <c r="AK372" s="456">
        <f>IF(AN372=12,J372,0)</f>
        <v>0</v>
      </c>
      <c r="AL372" s="456">
        <f>IF(AN372=21,J372,0)</f>
        <v>0</v>
      </c>
      <c r="AN372" s="456">
        <v>21</v>
      </c>
      <c r="AO372" s="456">
        <f>G372*0.783420229</f>
        <v>0</v>
      </c>
      <c r="AP372" s="456">
        <f>G372*(1-0.783420229)</f>
        <v>0</v>
      </c>
      <c r="AQ372" s="458" t="s">
        <v>660</v>
      </c>
      <c r="AV372" s="456">
        <f>AW372+AX372</f>
        <v>0</v>
      </c>
      <c r="AW372" s="456">
        <f>F372*AO372</f>
        <v>0</v>
      </c>
      <c r="AX372" s="456">
        <f>F372*AP372</f>
        <v>0</v>
      </c>
      <c r="AY372" s="458" t="s">
        <v>1043</v>
      </c>
      <c r="AZ372" s="458" t="s">
        <v>1015</v>
      </c>
      <c r="BA372" s="438" t="s">
        <v>656</v>
      </c>
      <c r="BC372" s="456">
        <f>AW372+AX372</f>
        <v>0</v>
      </c>
      <c r="BD372" s="456">
        <f>G372/(100-BE372)*100</f>
        <v>0</v>
      </c>
      <c r="BE372" s="456">
        <v>0</v>
      </c>
      <c r="BF372" s="456">
        <f>372</f>
        <v>372</v>
      </c>
      <c r="BH372" s="456">
        <f>F372*AO372</f>
        <v>0</v>
      </c>
      <c r="BI372" s="456">
        <f>F372*AP372</f>
        <v>0</v>
      </c>
      <c r="BJ372" s="456">
        <f>F372*G372</f>
        <v>0</v>
      </c>
      <c r="BK372" s="456"/>
      <c r="BL372" s="456"/>
      <c r="BW372" s="456">
        <v>21</v>
      </c>
      <c r="BX372" s="459" t="s">
        <v>1042</v>
      </c>
    </row>
    <row r="373" spans="1:76" ht="13.5">
      <c r="A373" s="460"/>
      <c r="C373" s="461" t="s">
        <v>1044</v>
      </c>
      <c r="D373" s="461" t="s">
        <v>648</v>
      </c>
      <c r="F373" s="462">
        <v>0.18</v>
      </c>
      <c r="K373" s="463"/>
    </row>
    <row r="374" spans="1:76" ht="13.5">
      <c r="A374" s="448" t="s">
        <v>648</v>
      </c>
      <c r="B374" s="449" t="s">
        <v>1045</v>
      </c>
      <c r="C374" s="450" t="s">
        <v>1046</v>
      </c>
      <c r="D374" s="451"/>
      <c r="E374" s="452" t="s">
        <v>607</v>
      </c>
      <c r="F374" s="452" t="s">
        <v>607</v>
      </c>
      <c r="G374" s="452" t="s">
        <v>607</v>
      </c>
      <c r="H374" s="416">
        <f>SUM(H375:H387)</f>
        <v>0</v>
      </c>
      <c r="I374" s="416">
        <f>SUM(I375:I387)</f>
        <v>0</v>
      </c>
      <c r="J374" s="416">
        <f>SUM(J375:J387)</f>
        <v>0</v>
      </c>
      <c r="K374" s="453" t="s">
        <v>648</v>
      </c>
      <c r="AI374" s="438" t="s">
        <v>648</v>
      </c>
      <c r="AS374" s="416">
        <f>SUM(AJ375:AJ387)</f>
        <v>0</v>
      </c>
      <c r="AT374" s="416">
        <f>SUM(AK375:AK387)</f>
        <v>0</v>
      </c>
      <c r="AU374" s="416">
        <f>SUM(AL375:AL387)</f>
        <v>0</v>
      </c>
    </row>
    <row r="375" spans="1:76" ht="13.5">
      <c r="A375" s="454" t="s">
        <v>1063</v>
      </c>
      <c r="B375" s="455" t="s">
        <v>1048</v>
      </c>
      <c r="C375" s="428" t="s">
        <v>1049</v>
      </c>
      <c r="D375" s="424"/>
      <c r="E375" s="455" t="s">
        <v>10</v>
      </c>
      <c r="F375" s="456">
        <v>500.56267000000003</v>
      </c>
      <c r="G375" s="456">
        <v>0</v>
      </c>
      <c r="H375" s="456">
        <f>F375*AO375</f>
        <v>0</v>
      </c>
      <c r="I375" s="456">
        <f>F375*AP375</f>
        <v>0</v>
      </c>
      <c r="J375" s="456">
        <f>F375*G375</f>
        <v>0</v>
      </c>
      <c r="K375" s="457" t="s">
        <v>1410</v>
      </c>
      <c r="Z375" s="456">
        <f>IF(AQ375="5",BJ375,0)</f>
        <v>0</v>
      </c>
      <c r="AB375" s="456">
        <f>IF(AQ375="1",BH375,0)</f>
        <v>0</v>
      </c>
      <c r="AC375" s="456">
        <f>IF(AQ375="1",BI375,0)</f>
        <v>0</v>
      </c>
      <c r="AD375" s="456">
        <f>IF(AQ375="7",BH375,0)</f>
        <v>0</v>
      </c>
      <c r="AE375" s="456">
        <f>IF(AQ375="7",BI375,0)</f>
        <v>0</v>
      </c>
      <c r="AF375" s="456">
        <f>IF(AQ375="2",BH375,0)</f>
        <v>0</v>
      </c>
      <c r="AG375" s="456">
        <f>IF(AQ375="2",BI375,0)</f>
        <v>0</v>
      </c>
      <c r="AH375" s="456">
        <f>IF(AQ375="0",BJ375,0)</f>
        <v>0</v>
      </c>
      <c r="AI375" s="438" t="s">
        <v>648</v>
      </c>
      <c r="AJ375" s="456">
        <f>IF(AN375=0,J375,0)</f>
        <v>0</v>
      </c>
      <c r="AK375" s="456">
        <f>IF(AN375=12,J375,0)</f>
        <v>0</v>
      </c>
      <c r="AL375" s="456">
        <f>IF(AN375=21,J375,0)</f>
        <v>0</v>
      </c>
      <c r="AN375" s="456">
        <v>21</v>
      </c>
      <c r="AO375" s="456">
        <f>G375*0</f>
        <v>0</v>
      </c>
      <c r="AP375" s="456">
        <f>G375*(1-0)</f>
        <v>0</v>
      </c>
      <c r="AQ375" s="458" t="s">
        <v>673</v>
      </c>
      <c r="AV375" s="456">
        <f>AW375+AX375</f>
        <v>0</v>
      </c>
      <c r="AW375" s="456">
        <f>F375*AO375</f>
        <v>0</v>
      </c>
      <c r="AX375" s="456">
        <f>F375*AP375</f>
        <v>0</v>
      </c>
      <c r="AY375" s="458" t="s">
        <v>1050</v>
      </c>
      <c r="AZ375" s="458" t="s">
        <v>1015</v>
      </c>
      <c r="BA375" s="438" t="s">
        <v>656</v>
      </c>
      <c r="BC375" s="456">
        <f>AW375+AX375</f>
        <v>0</v>
      </c>
      <c r="BD375" s="456">
        <f>G375/(100-BE375)*100</f>
        <v>0</v>
      </c>
      <c r="BE375" s="456">
        <v>0</v>
      </c>
      <c r="BF375" s="456">
        <f>375</f>
        <v>375</v>
      </c>
      <c r="BH375" s="456">
        <f>F375*AO375</f>
        <v>0</v>
      </c>
      <c r="BI375" s="456">
        <f>F375*AP375</f>
        <v>0</v>
      </c>
      <c r="BJ375" s="456">
        <f>F375*G375</f>
        <v>0</v>
      </c>
      <c r="BK375" s="456"/>
      <c r="BL375" s="456"/>
      <c r="BW375" s="456">
        <v>21</v>
      </c>
      <c r="BX375" s="459" t="s">
        <v>1049</v>
      </c>
    </row>
    <row r="376" spans="1:76" ht="13.5">
      <c r="A376" s="460"/>
      <c r="C376" s="461" t="s">
        <v>1524</v>
      </c>
      <c r="D376" s="461" t="s">
        <v>648</v>
      </c>
      <c r="F376" s="462">
        <v>500.56267000000003</v>
      </c>
      <c r="K376" s="463"/>
    </row>
    <row r="377" spans="1:76" ht="13.5">
      <c r="A377" s="454" t="s">
        <v>1068</v>
      </c>
      <c r="B377" s="455" t="s">
        <v>1054</v>
      </c>
      <c r="C377" s="428" t="s">
        <v>1055</v>
      </c>
      <c r="D377" s="424"/>
      <c r="E377" s="455" t="s">
        <v>10</v>
      </c>
      <c r="F377" s="456">
        <v>500.56267000000003</v>
      </c>
      <c r="G377" s="456">
        <v>0</v>
      </c>
      <c r="H377" s="456">
        <f>F377*AO377</f>
        <v>0</v>
      </c>
      <c r="I377" s="456">
        <f>F377*AP377</f>
        <v>0</v>
      </c>
      <c r="J377" s="456">
        <f>F377*G377</f>
        <v>0</v>
      </c>
      <c r="K377" s="457" t="s">
        <v>1410</v>
      </c>
      <c r="Z377" s="456">
        <f>IF(AQ377="5",BJ377,0)</f>
        <v>0</v>
      </c>
      <c r="AB377" s="456">
        <f>IF(AQ377="1",BH377,0)</f>
        <v>0</v>
      </c>
      <c r="AC377" s="456">
        <f>IF(AQ377="1",BI377,0)</f>
        <v>0</v>
      </c>
      <c r="AD377" s="456">
        <f>IF(AQ377="7",BH377,0)</f>
        <v>0</v>
      </c>
      <c r="AE377" s="456">
        <f>IF(AQ377="7",BI377,0)</f>
        <v>0</v>
      </c>
      <c r="AF377" s="456">
        <f>IF(AQ377="2",BH377,0)</f>
        <v>0</v>
      </c>
      <c r="AG377" s="456">
        <f>IF(AQ377="2",BI377,0)</f>
        <v>0</v>
      </c>
      <c r="AH377" s="456">
        <f>IF(AQ377="0",BJ377,0)</f>
        <v>0</v>
      </c>
      <c r="AI377" s="438" t="s">
        <v>648</v>
      </c>
      <c r="AJ377" s="456">
        <f>IF(AN377=0,J377,0)</f>
        <v>0</v>
      </c>
      <c r="AK377" s="456">
        <f>IF(AN377=12,J377,0)</f>
        <v>0</v>
      </c>
      <c r="AL377" s="456">
        <f>IF(AN377=21,J377,0)</f>
        <v>0</v>
      </c>
      <c r="AN377" s="456">
        <v>21</v>
      </c>
      <c r="AO377" s="456">
        <f>G377*0</f>
        <v>0</v>
      </c>
      <c r="AP377" s="456">
        <f>G377*(1-0)</f>
        <v>0</v>
      </c>
      <c r="AQ377" s="458" t="s">
        <v>673</v>
      </c>
      <c r="AV377" s="456">
        <f>AW377+AX377</f>
        <v>0</v>
      </c>
      <c r="AW377" s="456">
        <f>F377*AO377</f>
        <v>0</v>
      </c>
      <c r="AX377" s="456">
        <f>F377*AP377</f>
        <v>0</v>
      </c>
      <c r="AY377" s="458" t="s">
        <v>1050</v>
      </c>
      <c r="AZ377" s="458" t="s">
        <v>1015</v>
      </c>
      <c r="BA377" s="438" t="s">
        <v>656</v>
      </c>
      <c r="BC377" s="456">
        <f>AW377+AX377</f>
        <v>0</v>
      </c>
      <c r="BD377" s="456">
        <f>G377/(100-BE377)*100</f>
        <v>0</v>
      </c>
      <c r="BE377" s="456">
        <v>0</v>
      </c>
      <c r="BF377" s="456">
        <f>377</f>
        <v>377</v>
      </c>
      <c r="BH377" s="456">
        <f>F377*AO377</f>
        <v>0</v>
      </c>
      <c r="BI377" s="456">
        <f>F377*AP377</f>
        <v>0</v>
      </c>
      <c r="BJ377" s="456">
        <f>F377*G377</f>
        <v>0</v>
      </c>
      <c r="BK377" s="456"/>
      <c r="BL377" s="456"/>
      <c r="BW377" s="456">
        <v>21</v>
      </c>
      <c r="BX377" s="459" t="s">
        <v>1055</v>
      </c>
    </row>
    <row r="378" spans="1:76" ht="13.5">
      <c r="A378" s="460"/>
      <c r="C378" s="461" t="s">
        <v>1524</v>
      </c>
      <c r="D378" s="461" t="s">
        <v>648</v>
      </c>
      <c r="F378" s="462">
        <v>500.56267000000003</v>
      </c>
      <c r="K378" s="463"/>
    </row>
    <row r="379" spans="1:76" ht="13.5">
      <c r="A379" s="454" t="s">
        <v>1071</v>
      </c>
      <c r="B379" s="455" t="s">
        <v>1057</v>
      </c>
      <c r="C379" s="428" t="s">
        <v>1058</v>
      </c>
      <c r="D379" s="424"/>
      <c r="E379" s="455" t="s">
        <v>10</v>
      </c>
      <c r="F379" s="456">
        <v>9510.6907300000003</v>
      </c>
      <c r="G379" s="456">
        <v>0</v>
      </c>
      <c r="H379" s="456">
        <f>F379*AO379</f>
        <v>0</v>
      </c>
      <c r="I379" s="456">
        <f>F379*AP379</f>
        <v>0</v>
      </c>
      <c r="J379" s="456">
        <f>F379*G379</f>
        <v>0</v>
      </c>
      <c r="K379" s="457" t="s">
        <v>1410</v>
      </c>
      <c r="Z379" s="456">
        <f>IF(AQ379="5",BJ379,0)</f>
        <v>0</v>
      </c>
      <c r="AB379" s="456">
        <f>IF(AQ379="1",BH379,0)</f>
        <v>0</v>
      </c>
      <c r="AC379" s="456">
        <f>IF(AQ379="1",BI379,0)</f>
        <v>0</v>
      </c>
      <c r="AD379" s="456">
        <f>IF(AQ379="7",BH379,0)</f>
        <v>0</v>
      </c>
      <c r="AE379" s="456">
        <f>IF(AQ379="7",BI379,0)</f>
        <v>0</v>
      </c>
      <c r="AF379" s="456">
        <f>IF(AQ379="2",BH379,0)</f>
        <v>0</v>
      </c>
      <c r="AG379" s="456">
        <f>IF(AQ379="2",BI379,0)</f>
        <v>0</v>
      </c>
      <c r="AH379" s="456">
        <f>IF(AQ379="0",BJ379,0)</f>
        <v>0</v>
      </c>
      <c r="AI379" s="438" t="s">
        <v>648</v>
      </c>
      <c r="AJ379" s="456">
        <f>IF(AN379=0,J379,0)</f>
        <v>0</v>
      </c>
      <c r="AK379" s="456">
        <f>IF(AN379=12,J379,0)</f>
        <v>0</v>
      </c>
      <c r="AL379" s="456">
        <f>IF(AN379=21,J379,0)</f>
        <v>0</v>
      </c>
      <c r="AN379" s="456">
        <v>21</v>
      </c>
      <c r="AO379" s="456">
        <f>G379*0</f>
        <v>0</v>
      </c>
      <c r="AP379" s="456">
        <f>G379*(1-0)</f>
        <v>0</v>
      </c>
      <c r="AQ379" s="458" t="s">
        <v>673</v>
      </c>
      <c r="AV379" s="456">
        <f>AW379+AX379</f>
        <v>0</v>
      </c>
      <c r="AW379" s="456">
        <f>F379*AO379</f>
        <v>0</v>
      </c>
      <c r="AX379" s="456">
        <f>F379*AP379</f>
        <v>0</v>
      </c>
      <c r="AY379" s="458" t="s">
        <v>1050</v>
      </c>
      <c r="AZ379" s="458" t="s">
        <v>1015</v>
      </c>
      <c r="BA379" s="438" t="s">
        <v>656</v>
      </c>
      <c r="BC379" s="456">
        <f>AW379+AX379</f>
        <v>0</v>
      </c>
      <c r="BD379" s="456">
        <f>G379/(100-BE379)*100</f>
        <v>0</v>
      </c>
      <c r="BE379" s="456">
        <v>0</v>
      </c>
      <c r="BF379" s="456">
        <f>379</f>
        <v>379</v>
      </c>
      <c r="BH379" s="456">
        <f>F379*AO379</f>
        <v>0</v>
      </c>
      <c r="BI379" s="456">
        <f>F379*AP379</f>
        <v>0</v>
      </c>
      <c r="BJ379" s="456">
        <f>F379*G379</f>
        <v>0</v>
      </c>
      <c r="BK379" s="456"/>
      <c r="BL379" s="456"/>
      <c r="BW379" s="456">
        <v>21</v>
      </c>
      <c r="BX379" s="459" t="s">
        <v>1058</v>
      </c>
    </row>
    <row r="380" spans="1:76" ht="13.5">
      <c r="A380" s="460"/>
      <c r="C380" s="461" t="s">
        <v>1525</v>
      </c>
      <c r="D380" s="461" t="s">
        <v>648</v>
      </c>
      <c r="F380" s="462">
        <v>9510.6907300000003</v>
      </c>
      <c r="K380" s="463"/>
    </row>
    <row r="381" spans="1:76" ht="13.5">
      <c r="A381" s="454" t="s">
        <v>1074</v>
      </c>
      <c r="B381" s="455" t="s">
        <v>1052</v>
      </c>
      <c r="C381" s="428" t="s">
        <v>1461</v>
      </c>
      <c r="D381" s="424"/>
      <c r="E381" s="455" t="s">
        <v>10</v>
      </c>
      <c r="F381" s="456">
        <v>96.21</v>
      </c>
      <c r="G381" s="456">
        <v>0</v>
      </c>
      <c r="H381" s="456">
        <f>F381*AO381</f>
        <v>0</v>
      </c>
      <c r="I381" s="456">
        <f>F381*AP381</f>
        <v>0</v>
      </c>
      <c r="J381" s="456">
        <f>F381*G381</f>
        <v>0</v>
      </c>
      <c r="K381" s="457" t="s">
        <v>1410</v>
      </c>
      <c r="Z381" s="456">
        <f>IF(AQ381="5",BJ381,0)</f>
        <v>0</v>
      </c>
      <c r="AB381" s="456">
        <f>IF(AQ381="1",BH381,0)</f>
        <v>0</v>
      </c>
      <c r="AC381" s="456">
        <f>IF(AQ381="1",BI381,0)</f>
        <v>0</v>
      </c>
      <c r="AD381" s="456">
        <f>IF(AQ381="7",BH381,0)</f>
        <v>0</v>
      </c>
      <c r="AE381" s="456">
        <f>IF(AQ381="7",BI381,0)</f>
        <v>0</v>
      </c>
      <c r="AF381" s="456">
        <f>IF(AQ381="2",BH381,0)</f>
        <v>0</v>
      </c>
      <c r="AG381" s="456">
        <f>IF(AQ381="2",BI381,0)</f>
        <v>0</v>
      </c>
      <c r="AH381" s="456">
        <f>IF(AQ381="0",BJ381,0)</f>
        <v>0</v>
      </c>
      <c r="AI381" s="438" t="s">
        <v>648</v>
      </c>
      <c r="AJ381" s="456">
        <f>IF(AN381=0,J381,0)</f>
        <v>0</v>
      </c>
      <c r="AK381" s="456">
        <f>IF(AN381=12,J381,0)</f>
        <v>0</v>
      </c>
      <c r="AL381" s="456">
        <f>IF(AN381=21,J381,0)</f>
        <v>0</v>
      </c>
      <c r="AN381" s="456">
        <v>21</v>
      </c>
      <c r="AO381" s="456">
        <f>G381*0</f>
        <v>0</v>
      </c>
      <c r="AP381" s="456">
        <f>G381*(1-0)</f>
        <v>0</v>
      </c>
      <c r="AQ381" s="458" t="s">
        <v>673</v>
      </c>
      <c r="AV381" s="456">
        <f>AW381+AX381</f>
        <v>0</v>
      </c>
      <c r="AW381" s="456">
        <f>F381*AO381</f>
        <v>0</v>
      </c>
      <c r="AX381" s="456">
        <f>F381*AP381</f>
        <v>0</v>
      </c>
      <c r="AY381" s="458" t="s">
        <v>1050</v>
      </c>
      <c r="AZ381" s="458" t="s">
        <v>1015</v>
      </c>
      <c r="BA381" s="438" t="s">
        <v>656</v>
      </c>
      <c r="BC381" s="456">
        <f>AW381+AX381</f>
        <v>0</v>
      </c>
      <c r="BD381" s="456">
        <f>G381/(100-BE381)*100</f>
        <v>0</v>
      </c>
      <c r="BE381" s="456">
        <v>0</v>
      </c>
      <c r="BF381" s="456">
        <f>381</f>
        <v>381</v>
      </c>
      <c r="BH381" s="456">
        <f>F381*AO381</f>
        <v>0</v>
      </c>
      <c r="BI381" s="456">
        <f>F381*AP381</f>
        <v>0</v>
      </c>
      <c r="BJ381" s="456">
        <f>F381*G381</f>
        <v>0</v>
      </c>
      <c r="BK381" s="456"/>
      <c r="BL381" s="456"/>
      <c r="BW381" s="456">
        <v>21</v>
      </c>
      <c r="BX381" s="459" t="s">
        <v>1461</v>
      </c>
    </row>
    <row r="382" spans="1:76" ht="13.5">
      <c r="A382" s="460"/>
      <c r="C382" s="461" t="s">
        <v>1526</v>
      </c>
      <c r="D382" s="461" t="s">
        <v>648</v>
      </c>
      <c r="F382" s="462">
        <v>96.21</v>
      </c>
      <c r="K382" s="463"/>
    </row>
    <row r="383" spans="1:76" ht="13.5">
      <c r="A383" s="454" t="s">
        <v>1321</v>
      </c>
      <c r="B383" s="455" t="s">
        <v>1464</v>
      </c>
      <c r="C383" s="428" t="s">
        <v>1527</v>
      </c>
      <c r="D383" s="424"/>
      <c r="E383" s="455" t="s">
        <v>10</v>
      </c>
      <c r="F383" s="456">
        <v>96.21</v>
      </c>
      <c r="G383" s="456">
        <v>0</v>
      </c>
      <c r="H383" s="456">
        <f>F383*AO383</f>
        <v>0</v>
      </c>
      <c r="I383" s="456">
        <f>F383*AP383</f>
        <v>0</v>
      </c>
      <c r="J383" s="456">
        <f>F383*G383</f>
        <v>0</v>
      </c>
      <c r="K383" s="457" t="s">
        <v>1410</v>
      </c>
      <c r="Z383" s="456">
        <f>IF(AQ383="5",BJ383,0)</f>
        <v>0</v>
      </c>
      <c r="AB383" s="456">
        <f>IF(AQ383="1",BH383,0)</f>
        <v>0</v>
      </c>
      <c r="AC383" s="456">
        <f>IF(AQ383="1",BI383,0)</f>
        <v>0</v>
      </c>
      <c r="AD383" s="456">
        <f>IF(AQ383="7",BH383,0)</f>
        <v>0</v>
      </c>
      <c r="AE383" s="456">
        <f>IF(AQ383="7",BI383,0)</f>
        <v>0</v>
      </c>
      <c r="AF383" s="456">
        <f>IF(AQ383="2",BH383,0)</f>
        <v>0</v>
      </c>
      <c r="AG383" s="456">
        <f>IF(AQ383="2",BI383,0)</f>
        <v>0</v>
      </c>
      <c r="AH383" s="456">
        <f>IF(AQ383="0",BJ383,0)</f>
        <v>0</v>
      </c>
      <c r="AI383" s="438" t="s">
        <v>648</v>
      </c>
      <c r="AJ383" s="456">
        <f>IF(AN383=0,J383,0)</f>
        <v>0</v>
      </c>
      <c r="AK383" s="456">
        <f>IF(AN383=12,J383,0)</f>
        <v>0</v>
      </c>
      <c r="AL383" s="456">
        <f>IF(AN383=21,J383,0)</f>
        <v>0</v>
      </c>
      <c r="AN383" s="456">
        <v>21</v>
      </c>
      <c r="AO383" s="456">
        <f>G383*0</f>
        <v>0</v>
      </c>
      <c r="AP383" s="456">
        <f>G383*(1-0)</f>
        <v>0</v>
      </c>
      <c r="AQ383" s="458" t="s">
        <v>673</v>
      </c>
      <c r="AV383" s="456">
        <f>AW383+AX383</f>
        <v>0</v>
      </c>
      <c r="AW383" s="456">
        <f>F383*AO383</f>
        <v>0</v>
      </c>
      <c r="AX383" s="456">
        <f>F383*AP383</f>
        <v>0</v>
      </c>
      <c r="AY383" s="458" t="s">
        <v>1050</v>
      </c>
      <c r="AZ383" s="458" t="s">
        <v>1015</v>
      </c>
      <c r="BA383" s="438" t="s">
        <v>656</v>
      </c>
      <c r="BC383" s="456">
        <f>AW383+AX383</f>
        <v>0</v>
      </c>
      <c r="BD383" s="456">
        <f>G383/(100-BE383)*100</f>
        <v>0</v>
      </c>
      <c r="BE383" s="456">
        <v>0</v>
      </c>
      <c r="BF383" s="456">
        <f>383</f>
        <v>383</v>
      </c>
      <c r="BH383" s="456">
        <f>F383*AO383</f>
        <v>0</v>
      </c>
      <c r="BI383" s="456">
        <f>F383*AP383</f>
        <v>0</v>
      </c>
      <c r="BJ383" s="456">
        <f>F383*G383</f>
        <v>0</v>
      </c>
      <c r="BK383" s="456"/>
      <c r="BL383" s="456"/>
      <c r="BW383" s="456">
        <v>21</v>
      </c>
      <c r="BX383" s="459" t="s">
        <v>1527</v>
      </c>
    </row>
    <row r="384" spans="1:76" ht="13.5">
      <c r="A384" s="460"/>
      <c r="C384" s="461" t="s">
        <v>1528</v>
      </c>
      <c r="D384" s="461" t="s">
        <v>648</v>
      </c>
      <c r="F384" s="462">
        <v>96.21</v>
      </c>
      <c r="K384" s="463"/>
    </row>
    <row r="385" spans="1:76" ht="13.5">
      <c r="A385" s="454" t="s">
        <v>1322</v>
      </c>
      <c r="B385" s="455" t="s">
        <v>1454</v>
      </c>
      <c r="C385" s="428" t="s">
        <v>1455</v>
      </c>
      <c r="D385" s="424"/>
      <c r="E385" s="455" t="s">
        <v>10</v>
      </c>
      <c r="F385" s="456">
        <v>500.56267000000003</v>
      </c>
      <c r="G385" s="456">
        <v>0</v>
      </c>
      <c r="H385" s="456">
        <f>F385*AO385</f>
        <v>0</v>
      </c>
      <c r="I385" s="456">
        <f>F385*AP385</f>
        <v>0</v>
      </c>
      <c r="J385" s="456">
        <f>F385*G385</f>
        <v>0</v>
      </c>
      <c r="K385" s="457" t="s">
        <v>1410</v>
      </c>
      <c r="Z385" s="456">
        <f>IF(AQ385="5",BJ385,0)</f>
        <v>0</v>
      </c>
      <c r="AB385" s="456">
        <f>IF(AQ385="1",BH385,0)</f>
        <v>0</v>
      </c>
      <c r="AC385" s="456">
        <f>IF(AQ385="1",BI385,0)</f>
        <v>0</v>
      </c>
      <c r="AD385" s="456">
        <f>IF(AQ385="7",BH385,0)</f>
        <v>0</v>
      </c>
      <c r="AE385" s="456">
        <f>IF(AQ385="7",BI385,0)</f>
        <v>0</v>
      </c>
      <c r="AF385" s="456">
        <f>IF(AQ385="2",BH385,0)</f>
        <v>0</v>
      </c>
      <c r="AG385" s="456">
        <f>IF(AQ385="2",BI385,0)</f>
        <v>0</v>
      </c>
      <c r="AH385" s="456">
        <f>IF(AQ385="0",BJ385,0)</f>
        <v>0</v>
      </c>
      <c r="AI385" s="438" t="s">
        <v>648</v>
      </c>
      <c r="AJ385" s="456">
        <f>IF(AN385=0,J385,0)</f>
        <v>0</v>
      </c>
      <c r="AK385" s="456">
        <f>IF(AN385=12,J385,0)</f>
        <v>0</v>
      </c>
      <c r="AL385" s="456">
        <f>IF(AN385=21,J385,0)</f>
        <v>0</v>
      </c>
      <c r="AN385" s="456">
        <v>21</v>
      </c>
      <c r="AO385" s="456">
        <f>G385*0</f>
        <v>0</v>
      </c>
      <c r="AP385" s="456">
        <f>G385*(1-0)</f>
        <v>0</v>
      </c>
      <c r="AQ385" s="458" t="s">
        <v>673</v>
      </c>
      <c r="AV385" s="456">
        <f>AW385+AX385</f>
        <v>0</v>
      </c>
      <c r="AW385" s="456">
        <f>F385*AO385</f>
        <v>0</v>
      </c>
      <c r="AX385" s="456">
        <f>F385*AP385</f>
        <v>0</v>
      </c>
      <c r="AY385" s="458" t="s">
        <v>1050</v>
      </c>
      <c r="AZ385" s="458" t="s">
        <v>1015</v>
      </c>
      <c r="BA385" s="438" t="s">
        <v>656</v>
      </c>
      <c r="BC385" s="456">
        <f>AW385+AX385</f>
        <v>0</v>
      </c>
      <c r="BD385" s="456">
        <f>G385/(100-BE385)*100</f>
        <v>0</v>
      </c>
      <c r="BE385" s="456">
        <v>0</v>
      </c>
      <c r="BF385" s="456">
        <f>385</f>
        <v>385</v>
      </c>
      <c r="BH385" s="456">
        <f>F385*AO385</f>
        <v>0</v>
      </c>
      <c r="BI385" s="456">
        <f>F385*AP385</f>
        <v>0</v>
      </c>
      <c r="BJ385" s="456">
        <f>F385*G385</f>
        <v>0</v>
      </c>
      <c r="BK385" s="456"/>
      <c r="BL385" s="456"/>
      <c r="BW385" s="456">
        <v>21</v>
      </c>
      <c r="BX385" s="459" t="s">
        <v>1455</v>
      </c>
    </row>
    <row r="386" spans="1:76" ht="13.5">
      <c r="A386" s="460"/>
      <c r="C386" s="461" t="s">
        <v>1524</v>
      </c>
      <c r="D386" s="461" t="s">
        <v>648</v>
      </c>
      <c r="F386" s="462">
        <v>500.56267000000003</v>
      </c>
      <c r="K386" s="463"/>
    </row>
    <row r="387" spans="1:76" ht="13.5">
      <c r="A387" s="454" t="s">
        <v>1323</v>
      </c>
      <c r="B387" s="455" t="s">
        <v>1457</v>
      </c>
      <c r="C387" s="428" t="s">
        <v>1458</v>
      </c>
      <c r="D387" s="424"/>
      <c r="E387" s="455" t="s">
        <v>10</v>
      </c>
      <c r="F387" s="456">
        <v>29.216000000000001</v>
      </c>
      <c r="G387" s="456">
        <v>0</v>
      </c>
      <c r="H387" s="456">
        <f>F387*AO387</f>
        <v>0</v>
      </c>
      <c r="I387" s="456">
        <f>F387*AP387</f>
        <v>0</v>
      </c>
      <c r="J387" s="456">
        <f>F387*G387</f>
        <v>0</v>
      </c>
      <c r="K387" s="457" t="s">
        <v>1410</v>
      </c>
      <c r="Z387" s="456">
        <f>IF(AQ387="5",BJ387,0)</f>
        <v>0</v>
      </c>
      <c r="AB387" s="456">
        <f>IF(AQ387="1",BH387,0)</f>
        <v>0</v>
      </c>
      <c r="AC387" s="456">
        <f>IF(AQ387="1",BI387,0)</f>
        <v>0</v>
      </c>
      <c r="AD387" s="456">
        <f>IF(AQ387="7",BH387,0)</f>
        <v>0</v>
      </c>
      <c r="AE387" s="456">
        <f>IF(AQ387="7",BI387,0)</f>
        <v>0</v>
      </c>
      <c r="AF387" s="456">
        <f>IF(AQ387="2",BH387,0)</f>
        <v>0</v>
      </c>
      <c r="AG387" s="456">
        <f>IF(AQ387="2",BI387,0)</f>
        <v>0</v>
      </c>
      <c r="AH387" s="456">
        <f>IF(AQ387="0",BJ387,0)</f>
        <v>0</v>
      </c>
      <c r="AI387" s="438" t="s">
        <v>648</v>
      </c>
      <c r="AJ387" s="456">
        <f>IF(AN387=0,J387,0)</f>
        <v>0</v>
      </c>
      <c r="AK387" s="456">
        <f>IF(AN387=12,J387,0)</f>
        <v>0</v>
      </c>
      <c r="AL387" s="456">
        <f>IF(AN387=21,J387,0)</f>
        <v>0</v>
      </c>
      <c r="AN387" s="456">
        <v>21</v>
      </c>
      <c r="AO387" s="456">
        <f>G387*0</f>
        <v>0</v>
      </c>
      <c r="AP387" s="456">
        <f>G387*(1-0)</f>
        <v>0</v>
      </c>
      <c r="AQ387" s="458" t="s">
        <v>673</v>
      </c>
      <c r="AV387" s="456">
        <f>AW387+AX387</f>
        <v>0</v>
      </c>
      <c r="AW387" s="456">
        <f>F387*AO387</f>
        <v>0</v>
      </c>
      <c r="AX387" s="456">
        <f>F387*AP387</f>
        <v>0</v>
      </c>
      <c r="AY387" s="458" t="s">
        <v>1050</v>
      </c>
      <c r="AZ387" s="458" t="s">
        <v>1015</v>
      </c>
      <c r="BA387" s="438" t="s">
        <v>656</v>
      </c>
      <c r="BC387" s="456">
        <f>AW387+AX387</f>
        <v>0</v>
      </c>
      <c r="BD387" s="456">
        <f>G387/(100-BE387)*100</f>
        <v>0</v>
      </c>
      <c r="BE387" s="456">
        <v>0</v>
      </c>
      <c r="BF387" s="456">
        <f>387</f>
        <v>387</v>
      </c>
      <c r="BH387" s="456">
        <f>F387*AO387</f>
        <v>0</v>
      </c>
      <c r="BI387" s="456">
        <f>F387*AP387</f>
        <v>0</v>
      </c>
      <c r="BJ387" s="456">
        <f>F387*G387</f>
        <v>0</v>
      </c>
      <c r="BK387" s="456"/>
      <c r="BL387" s="456"/>
      <c r="BW387" s="456">
        <v>21</v>
      </c>
      <c r="BX387" s="459" t="s">
        <v>1458</v>
      </c>
    </row>
    <row r="388" spans="1:76" ht="13.5">
      <c r="A388" s="460"/>
      <c r="C388" s="461" t="s">
        <v>1529</v>
      </c>
      <c r="D388" s="461" t="s">
        <v>648</v>
      </c>
      <c r="F388" s="462">
        <v>29.216000000000001</v>
      </c>
      <c r="K388" s="463"/>
    </row>
    <row r="389" spans="1:76" ht="13.5">
      <c r="A389" s="448" t="s">
        <v>648</v>
      </c>
      <c r="B389" s="449" t="s">
        <v>1061</v>
      </c>
      <c r="C389" s="450" t="s">
        <v>1062</v>
      </c>
      <c r="D389" s="451"/>
      <c r="E389" s="452" t="s">
        <v>607</v>
      </c>
      <c r="F389" s="452" t="s">
        <v>607</v>
      </c>
      <c r="G389" s="452" t="s">
        <v>607</v>
      </c>
      <c r="H389" s="416">
        <f>SUM(H390:H392)</f>
        <v>0</v>
      </c>
      <c r="I389" s="416">
        <f>SUM(I390:I392)</f>
        <v>0</v>
      </c>
      <c r="J389" s="416">
        <f>SUM(J390:J392)</f>
        <v>0</v>
      </c>
      <c r="K389" s="453" t="s">
        <v>648</v>
      </c>
      <c r="AI389" s="438" t="s">
        <v>648</v>
      </c>
      <c r="AS389" s="416">
        <f>SUM(AJ390:AJ392)</f>
        <v>0</v>
      </c>
      <c r="AT389" s="416">
        <f>SUM(AK390:AK392)</f>
        <v>0</v>
      </c>
      <c r="AU389" s="416">
        <f>SUM(AL390:AL392)</f>
        <v>0</v>
      </c>
    </row>
    <row r="390" spans="1:76" ht="13.5">
      <c r="A390" s="454" t="s">
        <v>1460</v>
      </c>
      <c r="B390" s="455" t="s">
        <v>1064</v>
      </c>
      <c r="C390" s="428" t="s">
        <v>1065</v>
      </c>
      <c r="D390" s="424"/>
      <c r="E390" s="455" t="s">
        <v>1066</v>
      </c>
      <c r="F390" s="456">
        <v>3.25</v>
      </c>
      <c r="G390" s="456">
        <v>0</v>
      </c>
      <c r="H390" s="456">
        <f>F390*AO390</f>
        <v>0</v>
      </c>
      <c r="I390" s="456">
        <f>F390*AP390</f>
        <v>0</v>
      </c>
      <c r="J390" s="456">
        <f>F390*G390</f>
        <v>0</v>
      </c>
      <c r="K390" s="457" t="s">
        <v>648</v>
      </c>
      <c r="Z390" s="456">
        <f>IF(AQ390="5",BJ390,0)</f>
        <v>0</v>
      </c>
      <c r="AB390" s="456">
        <f>IF(AQ390="1",BH390,0)</f>
        <v>0</v>
      </c>
      <c r="AC390" s="456">
        <f>IF(AQ390="1",BI390,0)</f>
        <v>0</v>
      </c>
      <c r="AD390" s="456">
        <f>IF(AQ390="7",BH390,0)</f>
        <v>0</v>
      </c>
      <c r="AE390" s="456">
        <f>IF(AQ390="7",BI390,0)</f>
        <v>0</v>
      </c>
      <c r="AF390" s="456">
        <f>IF(AQ390="2",BH390,0)</f>
        <v>0</v>
      </c>
      <c r="AG390" s="456">
        <f>IF(AQ390="2",BI390,0)</f>
        <v>0</v>
      </c>
      <c r="AH390" s="456">
        <f>IF(AQ390="0",BJ390,0)</f>
        <v>0</v>
      </c>
      <c r="AI390" s="438" t="s">
        <v>648</v>
      </c>
      <c r="AJ390" s="456">
        <f>IF(AN390=0,J390,0)</f>
        <v>0</v>
      </c>
      <c r="AK390" s="456">
        <f>IF(AN390=12,J390,0)</f>
        <v>0</v>
      </c>
      <c r="AL390" s="456">
        <f>IF(AN390=21,J390,0)</f>
        <v>0</v>
      </c>
      <c r="AN390" s="456">
        <v>21</v>
      </c>
      <c r="AO390" s="456">
        <f>G390*0</f>
        <v>0</v>
      </c>
      <c r="AP390" s="456">
        <f>G390*(1-0)</f>
        <v>0</v>
      </c>
      <c r="AQ390" s="458" t="s">
        <v>651</v>
      </c>
      <c r="AV390" s="456">
        <f>AW390+AX390</f>
        <v>0</v>
      </c>
      <c r="AW390" s="456">
        <f>F390*AO390</f>
        <v>0</v>
      </c>
      <c r="AX390" s="456">
        <f>F390*AP390</f>
        <v>0</v>
      </c>
      <c r="AY390" s="458" t="s">
        <v>1067</v>
      </c>
      <c r="AZ390" s="458" t="s">
        <v>655</v>
      </c>
      <c r="BA390" s="438" t="s">
        <v>656</v>
      </c>
      <c r="BC390" s="456">
        <f>AW390+AX390</f>
        <v>0</v>
      </c>
      <c r="BD390" s="456">
        <f>G390/(100-BE390)*100</f>
        <v>0</v>
      </c>
      <c r="BE390" s="456">
        <v>0</v>
      </c>
      <c r="BF390" s="456">
        <f>390</f>
        <v>390</v>
      </c>
      <c r="BH390" s="456">
        <f>F390*AO390</f>
        <v>0</v>
      </c>
      <c r="BI390" s="456">
        <f>F390*AP390</f>
        <v>0</v>
      </c>
      <c r="BJ390" s="456">
        <f>F390*G390</f>
        <v>0</v>
      </c>
      <c r="BK390" s="456"/>
      <c r="BL390" s="456"/>
      <c r="BW390" s="456">
        <v>21</v>
      </c>
      <c r="BX390" s="459" t="s">
        <v>1065</v>
      </c>
    </row>
    <row r="391" spans="1:76" ht="13.5">
      <c r="A391" s="454" t="s">
        <v>1463</v>
      </c>
      <c r="B391" s="455" t="s">
        <v>1069</v>
      </c>
      <c r="C391" s="428" t="s">
        <v>1070</v>
      </c>
      <c r="D391" s="424"/>
      <c r="E391" s="455" t="s">
        <v>1066</v>
      </c>
      <c r="F391" s="456">
        <v>2.35</v>
      </c>
      <c r="G391" s="456">
        <v>0</v>
      </c>
      <c r="H391" s="456">
        <f>F391*AO391</f>
        <v>0</v>
      </c>
      <c r="I391" s="456">
        <f>F391*AP391</f>
        <v>0</v>
      </c>
      <c r="J391" s="456">
        <f>F391*G391</f>
        <v>0</v>
      </c>
      <c r="K391" s="457" t="s">
        <v>648</v>
      </c>
      <c r="Z391" s="456">
        <f>IF(AQ391="5",BJ391,0)</f>
        <v>0</v>
      </c>
      <c r="AB391" s="456">
        <f>IF(AQ391="1",BH391,0)</f>
        <v>0</v>
      </c>
      <c r="AC391" s="456">
        <f>IF(AQ391="1",BI391,0)</f>
        <v>0</v>
      </c>
      <c r="AD391" s="456">
        <f>IF(AQ391="7",BH391,0)</f>
        <v>0</v>
      </c>
      <c r="AE391" s="456">
        <f>IF(AQ391="7",BI391,0)</f>
        <v>0</v>
      </c>
      <c r="AF391" s="456">
        <f>IF(AQ391="2",BH391,0)</f>
        <v>0</v>
      </c>
      <c r="AG391" s="456">
        <f>IF(AQ391="2",BI391,0)</f>
        <v>0</v>
      </c>
      <c r="AH391" s="456">
        <f>IF(AQ391="0",BJ391,0)</f>
        <v>0</v>
      </c>
      <c r="AI391" s="438" t="s">
        <v>648</v>
      </c>
      <c r="AJ391" s="456">
        <f>IF(AN391=0,J391,0)</f>
        <v>0</v>
      </c>
      <c r="AK391" s="456">
        <f>IF(AN391=12,J391,0)</f>
        <v>0</v>
      </c>
      <c r="AL391" s="456">
        <f>IF(AN391=21,J391,0)</f>
        <v>0</v>
      </c>
      <c r="AN391" s="456">
        <v>21</v>
      </c>
      <c r="AO391" s="456">
        <f>G391*0</f>
        <v>0</v>
      </c>
      <c r="AP391" s="456">
        <f>G391*(1-0)</f>
        <v>0</v>
      </c>
      <c r="AQ391" s="458" t="s">
        <v>651</v>
      </c>
      <c r="AV391" s="456">
        <f>AW391+AX391</f>
        <v>0</v>
      </c>
      <c r="AW391" s="456">
        <f>F391*AO391</f>
        <v>0</v>
      </c>
      <c r="AX391" s="456">
        <f>F391*AP391</f>
        <v>0</v>
      </c>
      <c r="AY391" s="458" t="s">
        <v>1067</v>
      </c>
      <c r="AZ391" s="458" t="s">
        <v>655</v>
      </c>
      <c r="BA391" s="438" t="s">
        <v>656</v>
      </c>
      <c r="BC391" s="456">
        <f>AW391+AX391</f>
        <v>0</v>
      </c>
      <c r="BD391" s="456">
        <f>G391/(100-BE391)*100</f>
        <v>0</v>
      </c>
      <c r="BE391" s="456">
        <v>0</v>
      </c>
      <c r="BF391" s="456">
        <f>391</f>
        <v>391</v>
      </c>
      <c r="BH391" s="456">
        <f>F391*AO391</f>
        <v>0</v>
      </c>
      <c r="BI391" s="456">
        <f>F391*AP391</f>
        <v>0</v>
      </c>
      <c r="BJ391" s="456">
        <f>F391*G391</f>
        <v>0</v>
      </c>
      <c r="BK391" s="456"/>
      <c r="BL391" s="456"/>
      <c r="BW391" s="456">
        <v>21</v>
      </c>
      <c r="BX391" s="459" t="s">
        <v>1070</v>
      </c>
    </row>
    <row r="392" spans="1:76" ht="13.5">
      <c r="A392" s="464" t="s">
        <v>1467</v>
      </c>
      <c r="B392" s="465" t="s">
        <v>1072</v>
      </c>
      <c r="C392" s="466" t="s">
        <v>1073</v>
      </c>
      <c r="D392" s="467"/>
      <c r="E392" s="465" t="s">
        <v>1066</v>
      </c>
      <c r="F392" s="468">
        <v>1.5</v>
      </c>
      <c r="G392" s="468">
        <v>0</v>
      </c>
      <c r="H392" s="468">
        <f>F392*AO392</f>
        <v>0</v>
      </c>
      <c r="I392" s="468">
        <f>F392*AP392</f>
        <v>0</v>
      </c>
      <c r="J392" s="468">
        <f>F392*G392</f>
        <v>0</v>
      </c>
      <c r="K392" s="469" t="s">
        <v>648</v>
      </c>
      <c r="Z392" s="456">
        <f>IF(AQ392="5",BJ392,0)</f>
        <v>0</v>
      </c>
      <c r="AB392" s="456">
        <f>IF(AQ392="1",BH392,0)</f>
        <v>0</v>
      </c>
      <c r="AC392" s="456">
        <f>IF(AQ392="1",BI392,0)</f>
        <v>0</v>
      </c>
      <c r="AD392" s="456">
        <f>IF(AQ392="7",BH392,0)</f>
        <v>0</v>
      </c>
      <c r="AE392" s="456">
        <f>IF(AQ392="7",BI392,0)</f>
        <v>0</v>
      </c>
      <c r="AF392" s="456">
        <f>IF(AQ392="2",BH392,0)</f>
        <v>0</v>
      </c>
      <c r="AG392" s="456">
        <f>IF(AQ392="2",BI392,0)</f>
        <v>0</v>
      </c>
      <c r="AH392" s="456">
        <f>IF(AQ392="0",BJ392,0)</f>
        <v>0</v>
      </c>
      <c r="AI392" s="438" t="s">
        <v>648</v>
      </c>
      <c r="AJ392" s="456">
        <f>IF(AN392=0,J392,0)</f>
        <v>0</v>
      </c>
      <c r="AK392" s="456">
        <f>IF(AN392=12,J392,0)</f>
        <v>0</v>
      </c>
      <c r="AL392" s="456">
        <f>IF(AN392=21,J392,0)</f>
        <v>0</v>
      </c>
      <c r="AN392" s="456">
        <v>21</v>
      </c>
      <c r="AO392" s="456">
        <f>G392*0</f>
        <v>0</v>
      </c>
      <c r="AP392" s="456">
        <f>G392*(1-0)</f>
        <v>0</v>
      </c>
      <c r="AQ392" s="458" t="s">
        <v>651</v>
      </c>
      <c r="AV392" s="456">
        <f>AW392+AX392</f>
        <v>0</v>
      </c>
      <c r="AW392" s="456">
        <f>F392*AO392</f>
        <v>0</v>
      </c>
      <c r="AX392" s="456">
        <f>F392*AP392</f>
        <v>0</v>
      </c>
      <c r="AY392" s="458" t="s">
        <v>1067</v>
      </c>
      <c r="AZ392" s="458" t="s">
        <v>655</v>
      </c>
      <c r="BA392" s="438" t="s">
        <v>656</v>
      </c>
      <c r="BC392" s="456">
        <f>AW392+AX392</f>
        <v>0</v>
      </c>
      <c r="BD392" s="456">
        <f>G392/(100-BE392)*100</f>
        <v>0</v>
      </c>
      <c r="BE392" s="456">
        <v>0</v>
      </c>
      <c r="BF392" s="456">
        <f>392</f>
        <v>392</v>
      </c>
      <c r="BH392" s="456">
        <f>F392*AO392</f>
        <v>0</v>
      </c>
      <c r="BI392" s="456">
        <f>F392*AP392</f>
        <v>0</v>
      </c>
      <c r="BJ392" s="456">
        <f>F392*G392</f>
        <v>0</v>
      </c>
      <c r="BK392" s="456"/>
      <c r="BL392" s="456"/>
      <c r="BW392" s="456">
        <v>21</v>
      </c>
      <c r="BX392" s="459" t="s">
        <v>1073</v>
      </c>
    </row>
    <row r="393" spans="1:76" ht="13.5">
      <c r="H393" s="425" t="s">
        <v>1075</v>
      </c>
      <c r="I393" s="425"/>
      <c r="J393" s="470">
        <f>J12+J21+J38+J74+J92+J116+J150+J173+J176+J183+J188+J200+J209+J218+J221+J232+J282+J320+J325+J344+J347+J350+J360+J363+J368+J371+J374+J389</f>
        <v>0</v>
      </c>
    </row>
    <row r="394" spans="1:76" ht="13.5">
      <c r="A394" s="471" t="s">
        <v>99</v>
      </c>
    </row>
    <row r="395" spans="1:76" ht="54" customHeight="1">
      <c r="A395" s="428" t="s">
        <v>1530</v>
      </c>
      <c r="B395" s="424"/>
      <c r="C395" s="424"/>
      <c r="D395" s="424"/>
      <c r="E395" s="424"/>
      <c r="F395" s="424"/>
      <c r="G395" s="424"/>
      <c r="H395" s="424"/>
      <c r="I395" s="424"/>
      <c r="J395" s="424"/>
      <c r="K395" s="424"/>
    </row>
  </sheetData>
  <mergeCells count="173">
    <mergeCell ref="A395:K395"/>
    <mergeCell ref="C381:D381"/>
    <mergeCell ref="C383:D383"/>
    <mergeCell ref="C385:D385"/>
    <mergeCell ref="C387:D387"/>
    <mergeCell ref="C389:D389"/>
    <mergeCell ref="C390:D390"/>
    <mergeCell ref="C391:D391"/>
    <mergeCell ref="C392:D392"/>
    <mergeCell ref="H393:I393"/>
    <mergeCell ref="C366:D366"/>
    <mergeCell ref="C368:D368"/>
    <mergeCell ref="C369:D369"/>
    <mergeCell ref="C371:D371"/>
    <mergeCell ref="C372:D372"/>
    <mergeCell ref="C374:D374"/>
    <mergeCell ref="C375:D375"/>
    <mergeCell ref="C377:D377"/>
    <mergeCell ref="C379:D379"/>
    <mergeCell ref="C276:D276"/>
    <mergeCell ref="C278:D278"/>
    <mergeCell ref="C280:D280"/>
    <mergeCell ref="C282:D282"/>
    <mergeCell ref="C283:D283"/>
    <mergeCell ref="C289:D289"/>
    <mergeCell ref="C291:D291"/>
    <mergeCell ref="C294:D294"/>
    <mergeCell ref="C296:D296"/>
    <mergeCell ref="C205:D205"/>
    <mergeCell ref="C207:D207"/>
    <mergeCell ref="C209:D209"/>
    <mergeCell ref="C210:D210"/>
    <mergeCell ref="C212:D212"/>
    <mergeCell ref="C214:D214"/>
    <mergeCell ref="C216:D216"/>
    <mergeCell ref="C218:D218"/>
    <mergeCell ref="C219:D219"/>
    <mergeCell ref="C32:D32"/>
    <mergeCell ref="C34:D34"/>
    <mergeCell ref="C36:D36"/>
    <mergeCell ref="C38:D38"/>
    <mergeCell ref="C39:D39"/>
    <mergeCell ref="C41:D41"/>
    <mergeCell ref="C43:D43"/>
    <mergeCell ref="C53:D53"/>
    <mergeCell ref="C55:D55"/>
    <mergeCell ref="H4:H5"/>
    <mergeCell ref="H2:H3"/>
    <mergeCell ref="A1:K1"/>
    <mergeCell ref="A2:B3"/>
    <mergeCell ref="C2:D3"/>
    <mergeCell ref="E2:F3"/>
    <mergeCell ref="G2:G3"/>
    <mergeCell ref="I2:K3"/>
    <mergeCell ref="A4:B5"/>
    <mergeCell ref="C4:D5"/>
    <mergeCell ref="E4:F5"/>
    <mergeCell ref="G4:G5"/>
    <mergeCell ref="I4:K5"/>
    <mergeCell ref="H8:H9"/>
    <mergeCell ref="H6:H7"/>
    <mergeCell ref="A6:B7"/>
    <mergeCell ref="C6:D7"/>
    <mergeCell ref="E6:F7"/>
    <mergeCell ref="G6:G7"/>
    <mergeCell ref="I6:K7"/>
    <mergeCell ref="A8:B9"/>
    <mergeCell ref="C8:D9"/>
    <mergeCell ref="E8:F9"/>
    <mergeCell ref="G8:G9"/>
    <mergeCell ref="I8:K9"/>
    <mergeCell ref="C10:D10"/>
    <mergeCell ref="H10:J10"/>
    <mergeCell ref="C11:D11"/>
    <mergeCell ref="C12:D12"/>
    <mergeCell ref="C13:D13"/>
    <mergeCell ref="C15:D15"/>
    <mergeCell ref="C17:D17"/>
    <mergeCell ref="C19:D19"/>
    <mergeCell ref="C21:D21"/>
    <mergeCell ref="C22:D22"/>
    <mergeCell ref="C26:D26"/>
    <mergeCell ref="C30:D30"/>
    <mergeCell ref="C61:D61"/>
    <mergeCell ref="C72:D72"/>
    <mergeCell ref="C74:D74"/>
    <mergeCell ref="C75:D75"/>
    <mergeCell ref="C77:D77"/>
    <mergeCell ref="C79:D79"/>
    <mergeCell ref="C81:D81"/>
    <mergeCell ref="C90:D90"/>
    <mergeCell ref="C92:D92"/>
    <mergeCell ref="C93:D93"/>
    <mergeCell ref="C95:D95"/>
    <mergeCell ref="C98:D98"/>
    <mergeCell ref="C101:D101"/>
    <mergeCell ref="C103:D103"/>
    <mergeCell ref="C106:D106"/>
    <mergeCell ref="C108:D108"/>
    <mergeCell ref="C112:D112"/>
    <mergeCell ref="C114:D114"/>
    <mergeCell ref="C116:D116"/>
    <mergeCell ref="C117:D117"/>
    <mergeCell ref="C122:D122"/>
    <mergeCell ref="C140:D140"/>
    <mergeCell ref="C144:D144"/>
    <mergeCell ref="C146:D146"/>
    <mergeCell ref="C148:D148"/>
    <mergeCell ref="C150:D150"/>
    <mergeCell ref="C151:D151"/>
    <mergeCell ref="C154:D154"/>
    <mergeCell ref="C173:D173"/>
    <mergeCell ref="C174:D174"/>
    <mergeCell ref="C176:D176"/>
    <mergeCell ref="C177:D177"/>
    <mergeCell ref="C179:D179"/>
    <mergeCell ref="C181:D181"/>
    <mergeCell ref="C183:D183"/>
    <mergeCell ref="C184:D184"/>
    <mergeCell ref="C188:D188"/>
    <mergeCell ref="C189:D189"/>
    <mergeCell ref="C198:D198"/>
    <mergeCell ref="C200:D200"/>
    <mergeCell ref="C201:D201"/>
    <mergeCell ref="C203:D203"/>
    <mergeCell ref="C221:D221"/>
    <mergeCell ref="C222:D222"/>
    <mergeCell ref="C225:D225"/>
    <mergeCell ref="C228:D228"/>
    <mergeCell ref="C230:D230"/>
    <mergeCell ref="C232:D232"/>
    <mergeCell ref="C233:D233"/>
    <mergeCell ref="C240:D240"/>
    <mergeCell ref="C244:D244"/>
    <mergeCell ref="C248:D248"/>
    <mergeCell ref="C252:D252"/>
    <mergeCell ref="C256:D256"/>
    <mergeCell ref="C260:D260"/>
    <mergeCell ref="C262:D262"/>
    <mergeCell ref="C268:D268"/>
    <mergeCell ref="C270:D270"/>
    <mergeCell ref="C272:D272"/>
    <mergeCell ref="C274:D274"/>
    <mergeCell ref="C299:D299"/>
    <mergeCell ref="C301:D301"/>
    <mergeCell ref="C304:D304"/>
    <mergeCell ref="C307:D307"/>
    <mergeCell ref="C310:D310"/>
    <mergeCell ref="C313:D313"/>
    <mergeCell ref="C318:D318"/>
    <mergeCell ref="C320:D320"/>
    <mergeCell ref="C321:D321"/>
    <mergeCell ref="C323:D323"/>
    <mergeCell ref="C325:D325"/>
    <mergeCell ref="C326:D326"/>
    <mergeCell ref="C328:D328"/>
    <mergeCell ref="C332:D332"/>
    <mergeCell ref="C334:D334"/>
    <mergeCell ref="C336:D336"/>
    <mergeCell ref="C338:D338"/>
    <mergeCell ref="C340:D340"/>
    <mergeCell ref="C342:D342"/>
    <mergeCell ref="C344:D344"/>
    <mergeCell ref="C345:D345"/>
    <mergeCell ref="C347:D347"/>
    <mergeCell ref="C348:D348"/>
    <mergeCell ref="C350:D350"/>
    <mergeCell ref="C351:D351"/>
    <mergeCell ref="C358:D358"/>
    <mergeCell ref="C360:D360"/>
    <mergeCell ref="C361:D361"/>
    <mergeCell ref="C363:D363"/>
    <mergeCell ref="C364:D364"/>
  </mergeCells>
  <pageMargins left="0.39400000000000002" right="0.39400000000000002" top="0.59099999999999997" bottom="0.59099999999999997" header="0" footer="0"/>
  <pageSetup paperSize="0" firstPageNumber="0" fitToHeight="0" orientation="landscape" useFirstPageNumber="1" horizontalDpi="0" verticalDpi="0" copies="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B23BF-EB30-4896-906B-9FE236862AB4}">
  <sheetPr>
    <pageSetUpPr fitToPage="1"/>
  </sheetPr>
  <dimension ref="A1:DQ174"/>
  <sheetViews>
    <sheetView topLeftCell="A31" zoomScale="112" zoomScaleNormal="112" zoomScaleSheetLayoutView="40" workbookViewId="0">
      <selection activeCell="E104" sqref="E99:E104"/>
    </sheetView>
  </sheetViews>
  <sheetFormatPr defaultColWidth="10.6640625" defaultRowHeight="12"/>
  <cols>
    <col min="1" max="1" width="10.1640625" style="9" bestFit="1" customWidth="1"/>
    <col min="2" max="2" width="82.1640625" style="10" customWidth="1"/>
    <col min="3" max="3" width="11" style="11" customWidth="1"/>
    <col min="4" max="12" width="10.6640625" style="9"/>
    <col min="13" max="13" width="60" style="9" customWidth="1"/>
    <col min="14" max="16384" width="10.6640625" style="9"/>
  </cols>
  <sheetData>
    <row r="1" spans="1:6" s="4" customFormat="1" ht="12" customHeight="1">
      <c r="A1" s="132" t="s">
        <v>189</v>
      </c>
      <c r="B1" s="132"/>
      <c r="C1" s="132"/>
      <c r="D1" s="132"/>
      <c r="E1" s="404" t="s">
        <v>41</v>
      </c>
      <c r="F1" s="404"/>
    </row>
    <row r="2" spans="1:6" s="4" customFormat="1" ht="12" customHeight="1">
      <c r="A2" s="405" t="s">
        <v>296</v>
      </c>
      <c r="B2" s="405"/>
      <c r="C2" s="132"/>
      <c r="D2" s="164"/>
      <c r="E2" s="404" t="s">
        <v>42</v>
      </c>
      <c r="F2" s="404"/>
    </row>
    <row r="3" spans="1:6" s="4" customFormat="1">
      <c r="A3" s="177" t="s">
        <v>44</v>
      </c>
      <c r="B3" s="161"/>
      <c r="C3" s="161"/>
      <c r="D3" s="162"/>
      <c r="E3" s="161"/>
      <c r="F3" s="162" t="s">
        <v>43</v>
      </c>
    </row>
    <row r="4" spans="1:6">
      <c r="A4" s="132"/>
      <c r="B4" s="157"/>
      <c r="C4" s="154"/>
      <c r="D4" s="132"/>
      <c r="E4" s="132"/>
      <c r="F4" s="132"/>
    </row>
    <row r="5" spans="1:6" s="4" customFormat="1">
      <c r="A5" s="132"/>
      <c r="B5" s="132"/>
      <c r="C5" s="132"/>
      <c r="D5" s="132"/>
      <c r="E5" s="132"/>
      <c r="F5" s="132"/>
    </row>
    <row r="6" spans="1:6" s="4" customFormat="1">
      <c r="A6" s="132"/>
      <c r="B6" s="132"/>
      <c r="C6" s="132"/>
      <c r="D6" s="132"/>
      <c r="E6" s="132"/>
      <c r="F6" s="132"/>
    </row>
    <row r="7" spans="1:6" s="4" customFormat="1">
      <c r="A7" s="132"/>
      <c r="B7" s="132"/>
      <c r="C7" s="132"/>
      <c r="D7" s="132"/>
      <c r="E7" s="132"/>
      <c r="F7" s="132"/>
    </row>
    <row r="8" spans="1:6" s="4" customFormat="1">
      <c r="A8" s="132"/>
      <c r="B8" s="132"/>
      <c r="C8" s="132"/>
      <c r="D8" s="132"/>
      <c r="E8" s="132"/>
      <c r="F8" s="132"/>
    </row>
    <row r="9" spans="1:6">
      <c r="A9" s="132"/>
      <c r="B9" s="157"/>
      <c r="C9" s="154"/>
      <c r="D9" s="132"/>
      <c r="E9" s="132"/>
      <c r="F9" s="132"/>
    </row>
    <row r="10" spans="1:6">
      <c r="A10" s="132"/>
      <c r="B10" s="157"/>
      <c r="C10" s="154"/>
      <c r="D10" s="132"/>
      <c r="E10" s="132"/>
      <c r="F10" s="132"/>
    </row>
    <row r="11" spans="1:6">
      <c r="A11" s="132"/>
      <c r="B11" s="132"/>
      <c r="C11" s="132"/>
      <c r="D11" s="132"/>
      <c r="E11" s="132"/>
      <c r="F11" s="132"/>
    </row>
    <row r="12" spans="1:6">
      <c r="A12" s="132"/>
      <c r="B12" s="132"/>
      <c r="C12" s="132"/>
      <c r="D12" s="132"/>
      <c r="E12" s="132"/>
      <c r="F12" s="132"/>
    </row>
    <row r="13" spans="1:6">
      <c r="A13" s="132"/>
      <c r="B13" s="132"/>
      <c r="C13" s="132"/>
      <c r="D13" s="132"/>
      <c r="E13" s="132"/>
      <c r="F13" s="132"/>
    </row>
    <row r="14" spans="1:6">
      <c r="A14" s="132"/>
      <c r="B14" s="132"/>
      <c r="C14" s="132"/>
      <c r="D14" s="132"/>
      <c r="E14" s="132"/>
      <c r="F14" s="132"/>
    </row>
    <row r="15" spans="1:6" s="13" customFormat="1">
      <c r="A15" s="178"/>
      <c r="B15" s="178"/>
      <c r="C15" s="178"/>
      <c r="D15" s="178"/>
      <c r="E15" s="178"/>
      <c r="F15" s="178"/>
    </row>
    <row r="16" spans="1:6" s="13" customFormat="1">
      <c r="A16" s="178"/>
      <c r="B16" s="178"/>
      <c r="C16" s="178"/>
      <c r="D16" s="178"/>
      <c r="E16" s="178"/>
      <c r="F16" s="178"/>
    </row>
    <row r="17" spans="1:6" s="13" customFormat="1">
      <c r="A17" s="178"/>
      <c r="B17" s="178"/>
      <c r="C17" s="178"/>
      <c r="D17" s="178"/>
      <c r="E17" s="178"/>
      <c r="F17" s="178"/>
    </row>
    <row r="18" spans="1:6">
      <c r="A18" s="132"/>
      <c r="B18" s="132"/>
      <c r="C18" s="132"/>
      <c r="D18" s="132"/>
      <c r="E18" s="132"/>
      <c r="F18" s="132"/>
    </row>
    <row r="19" spans="1:6">
      <c r="A19" s="132"/>
      <c r="B19" s="132"/>
      <c r="C19" s="132"/>
      <c r="D19" s="132"/>
      <c r="E19" s="132"/>
      <c r="F19" s="132"/>
    </row>
    <row r="20" spans="1:6">
      <c r="A20" s="132"/>
      <c r="B20" s="132"/>
      <c r="C20" s="132"/>
      <c r="D20" s="132"/>
      <c r="E20" s="132"/>
      <c r="F20" s="132"/>
    </row>
    <row r="21" spans="1:6">
      <c r="A21" s="132"/>
      <c r="B21" s="132"/>
      <c r="C21" s="132"/>
      <c r="D21" s="132"/>
      <c r="E21" s="132"/>
      <c r="F21" s="132"/>
    </row>
    <row r="22" spans="1:6">
      <c r="A22" s="132"/>
      <c r="B22" s="132"/>
      <c r="C22" s="132"/>
      <c r="D22" s="132"/>
      <c r="E22" s="132"/>
      <c r="F22" s="132"/>
    </row>
    <row r="23" spans="1:6">
      <c r="A23" s="132"/>
      <c r="B23" s="132"/>
      <c r="C23" s="132"/>
      <c r="D23" s="132"/>
      <c r="E23" s="132"/>
      <c r="F23" s="132"/>
    </row>
    <row r="24" spans="1:6">
      <c r="A24" s="132"/>
      <c r="B24" s="132"/>
      <c r="C24" s="132"/>
      <c r="D24" s="132"/>
      <c r="E24" s="132"/>
      <c r="F24" s="132"/>
    </row>
    <row r="25" spans="1:6">
      <c r="A25" s="132"/>
      <c r="B25" s="132"/>
      <c r="C25" s="132"/>
      <c r="D25" s="132"/>
      <c r="E25" s="132"/>
      <c r="F25" s="132"/>
    </row>
    <row r="26" spans="1:6">
      <c r="A26" s="132"/>
      <c r="B26" s="132"/>
      <c r="C26" s="132"/>
      <c r="D26" s="132"/>
      <c r="E26" s="132"/>
      <c r="F26" s="132"/>
    </row>
    <row r="27" spans="1:6">
      <c r="A27" s="132"/>
      <c r="B27" s="132"/>
      <c r="C27" s="132"/>
      <c r="D27" s="132"/>
      <c r="E27" s="132"/>
      <c r="F27" s="132"/>
    </row>
    <row r="28" spans="1:6">
      <c r="A28" s="132"/>
      <c r="B28" s="132"/>
      <c r="C28" s="132"/>
      <c r="D28" s="132"/>
      <c r="E28" s="132"/>
      <c r="F28" s="132"/>
    </row>
    <row r="29" spans="1:6">
      <c r="A29" s="132"/>
      <c r="B29" s="132"/>
      <c r="C29" s="132"/>
      <c r="D29" s="132"/>
      <c r="E29" s="132"/>
      <c r="F29" s="132"/>
    </row>
    <row r="30" spans="1:6">
      <c r="A30" s="132"/>
      <c r="B30" s="132"/>
      <c r="C30" s="132"/>
      <c r="D30" s="132"/>
      <c r="E30" s="132"/>
      <c r="F30" s="132"/>
    </row>
    <row r="31" spans="1:6">
      <c r="A31" s="132"/>
      <c r="B31" s="132"/>
      <c r="C31" s="132"/>
      <c r="D31" s="132"/>
      <c r="E31" s="132"/>
      <c r="F31" s="132"/>
    </row>
    <row r="32" spans="1:6">
      <c r="A32" s="132"/>
      <c r="B32" s="132"/>
      <c r="C32" s="132"/>
      <c r="D32" s="132"/>
      <c r="E32" s="132"/>
      <c r="F32" s="132"/>
    </row>
    <row r="33" spans="1:6">
      <c r="A33" s="132"/>
      <c r="B33" s="132"/>
      <c r="C33" s="132"/>
      <c r="D33" s="132"/>
      <c r="E33" s="132"/>
      <c r="F33" s="132"/>
    </row>
    <row r="34" spans="1:6" ht="13.5" customHeight="1">
      <c r="A34" s="132"/>
      <c r="B34" s="406"/>
      <c r="C34" s="406"/>
      <c r="D34" s="406"/>
      <c r="E34" s="132"/>
      <c r="F34" s="132"/>
    </row>
    <row r="35" spans="1:6">
      <c r="A35" s="132"/>
      <c r="B35" s="132"/>
      <c r="C35" s="132"/>
      <c r="D35" s="132"/>
      <c r="E35" s="132"/>
      <c r="F35" s="132"/>
    </row>
    <row r="36" spans="1:6" ht="20.25">
      <c r="A36" s="132"/>
      <c r="B36" s="180" t="s">
        <v>190</v>
      </c>
      <c r="C36" s="132"/>
      <c r="D36" s="132"/>
      <c r="E36" s="132"/>
      <c r="F36" s="132"/>
    </row>
    <row r="37" spans="1:6">
      <c r="A37" s="132"/>
      <c r="B37" s="132"/>
      <c r="C37" s="132"/>
      <c r="D37" s="132"/>
      <c r="E37" s="132"/>
      <c r="F37" s="132"/>
    </row>
    <row r="38" spans="1:6" ht="18">
      <c r="A38" s="132"/>
      <c r="B38" s="181"/>
      <c r="C38" s="132"/>
      <c r="D38" s="132"/>
      <c r="E38" s="132"/>
      <c r="F38" s="132"/>
    </row>
    <row r="39" spans="1:6" ht="17.25" customHeight="1">
      <c r="A39" s="179" t="s">
        <v>191</v>
      </c>
      <c r="B39" s="157"/>
      <c r="C39" s="179"/>
      <c r="D39" s="132"/>
      <c r="E39" s="132"/>
      <c r="F39" s="132"/>
    </row>
    <row r="40" spans="1:6">
      <c r="A40" s="182"/>
      <c r="B40" s="182"/>
      <c r="C40" s="156"/>
      <c r="D40" s="132"/>
      <c r="E40" s="132"/>
      <c r="F40" s="132"/>
    </row>
    <row r="41" spans="1:6">
      <c r="A41" s="182"/>
      <c r="B41" s="182"/>
      <c r="C41" s="156"/>
      <c r="D41" s="132"/>
      <c r="E41" s="132"/>
      <c r="F41" s="132"/>
    </row>
    <row r="42" spans="1:6">
      <c r="A42" s="182"/>
      <c r="B42" s="182"/>
      <c r="C42" s="156"/>
      <c r="D42" s="132"/>
      <c r="E42" s="132"/>
      <c r="F42" s="132"/>
    </row>
    <row r="43" spans="1:6">
      <c r="A43" s="182"/>
      <c r="B43" s="182"/>
      <c r="C43" s="156"/>
      <c r="D43" s="178"/>
      <c r="E43" s="178"/>
      <c r="F43" s="132"/>
    </row>
    <row r="44" spans="1:6">
      <c r="A44" s="183"/>
      <c r="B44" s="132"/>
      <c r="C44" s="157"/>
      <c r="D44" s="178"/>
      <c r="E44" s="178"/>
      <c r="F44" s="132"/>
    </row>
    <row r="45" spans="1:6" ht="12.75">
      <c r="A45" s="184"/>
      <c r="B45" s="185"/>
      <c r="C45" s="186"/>
      <c r="D45" s="186"/>
      <c r="E45" s="175"/>
      <c r="F45" s="132"/>
    </row>
    <row r="46" spans="1:6">
      <c r="A46" s="155"/>
      <c r="B46" s="187"/>
      <c r="C46" s="160"/>
      <c r="D46" s="132"/>
      <c r="E46" s="132"/>
      <c r="F46" s="132"/>
    </row>
    <row r="47" spans="1:6">
      <c r="A47" s="155"/>
      <c r="B47" s="187"/>
      <c r="C47" s="160"/>
      <c r="D47" s="132"/>
      <c r="E47" s="132"/>
      <c r="F47" s="132"/>
    </row>
    <row r="48" spans="1:6">
      <c r="A48" s="155"/>
      <c r="B48" s="187"/>
      <c r="C48" s="160"/>
      <c r="D48" s="132"/>
      <c r="E48" s="132"/>
      <c r="F48" s="132"/>
    </row>
    <row r="49" spans="1:17">
      <c r="A49" s="155"/>
      <c r="B49" s="187"/>
      <c r="C49" s="160"/>
      <c r="D49" s="132"/>
      <c r="E49" s="132"/>
      <c r="F49" s="132"/>
    </row>
    <row r="50" spans="1:17">
      <c r="A50" s="188"/>
      <c r="B50" s="189"/>
      <c r="C50" s="190"/>
      <c r="D50" s="132"/>
      <c r="E50" s="132"/>
      <c r="F50" s="132"/>
    </row>
    <row r="51" spans="1:17" ht="12.75">
      <c r="A51" s="191"/>
      <c r="B51" s="192" t="s">
        <v>295</v>
      </c>
      <c r="C51" s="167"/>
      <c r="D51" s="171"/>
      <c r="E51" s="193">
        <f>F95</f>
        <v>0</v>
      </c>
      <c r="F51" s="132"/>
    </row>
    <row r="52" spans="1:17" ht="14.25">
      <c r="A52" s="194"/>
      <c r="B52" s="157"/>
      <c r="C52" s="154"/>
      <c r="D52" s="132"/>
      <c r="E52" s="132"/>
      <c r="F52" s="132"/>
    </row>
    <row r="53" spans="1:17" ht="14.25">
      <c r="A53" s="195"/>
      <c r="B53" s="196" t="s">
        <v>55</v>
      </c>
      <c r="C53" s="167"/>
      <c r="D53" s="171"/>
      <c r="E53" s="193">
        <f>0.21*E51</f>
        <v>0</v>
      </c>
      <c r="F53" s="132"/>
    </row>
    <row r="54" spans="1:17" ht="14.25">
      <c r="A54" s="195"/>
      <c r="B54" s="157"/>
      <c r="C54" s="154"/>
      <c r="D54" s="132"/>
      <c r="E54" s="132"/>
      <c r="F54" s="132"/>
    </row>
    <row r="55" spans="1:17" ht="12.75">
      <c r="A55" s="132"/>
      <c r="B55" s="197" t="s">
        <v>56</v>
      </c>
      <c r="C55" s="167"/>
      <c r="D55" s="171"/>
      <c r="E55" s="193">
        <f>SUM(E51:E53)</f>
        <v>0</v>
      </c>
      <c r="F55" s="132"/>
    </row>
    <row r="56" spans="1:17">
      <c r="A56" s="132"/>
      <c r="B56" s="157"/>
      <c r="C56" s="154"/>
      <c r="D56" s="132"/>
      <c r="E56" s="132"/>
      <c r="F56" s="132"/>
    </row>
    <row r="57" spans="1:17">
      <c r="A57" s="132"/>
      <c r="B57" s="157"/>
      <c r="C57" s="154"/>
      <c r="D57" s="132"/>
      <c r="E57" s="132"/>
      <c r="F57" s="132"/>
    </row>
    <row r="58" spans="1:17">
      <c r="A58" s="132"/>
      <c r="B58" s="132"/>
      <c r="C58" s="154"/>
      <c r="D58" s="132"/>
      <c r="E58" s="132"/>
      <c r="F58" s="132"/>
    </row>
    <row r="59" spans="1:17">
      <c r="A59" s="132"/>
      <c r="B59" s="157"/>
      <c r="C59" s="154"/>
      <c r="D59" s="132"/>
      <c r="E59" s="132"/>
      <c r="F59" s="132"/>
    </row>
    <row r="60" spans="1:17">
      <c r="A60" s="132"/>
      <c r="B60" s="157"/>
      <c r="C60" s="154"/>
      <c r="D60" s="132"/>
      <c r="E60" s="132"/>
      <c r="F60" s="132"/>
    </row>
    <row r="61" spans="1:17">
      <c r="A61" s="132"/>
      <c r="B61" s="157"/>
      <c r="C61" s="154"/>
      <c r="D61" s="132"/>
      <c r="E61" s="132"/>
      <c r="F61" s="132"/>
    </row>
    <row r="62" spans="1:17">
      <c r="A62" s="182"/>
      <c r="B62" s="182"/>
      <c r="C62" s="155"/>
      <c r="D62" s="156"/>
      <c r="E62" s="156"/>
      <c r="F62" s="156"/>
      <c r="L62" s="198"/>
      <c r="M62" s="199"/>
      <c r="N62" s="198"/>
      <c r="O62" s="198"/>
      <c r="P62" s="198"/>
      <c r="Q62" s="200"/>
    </row>
    <row r="63" spans="1:17">
      <c r="A63" s="132"/>
      <c r="B63" s="132"/>
      <c r="C63" s="132"/>
      <c r="D63" s="132"/>
      <c r="E63" s="132"/>
      <c r="F63" s="132"/>
      <c r="L63" s="24"/>
      <c r="M63" s="201"/>
      <c r="N63" s="202"/>
      <c r="O63" s="202"/>
      <c r="P63" s="202"/>
      <c r="Q63" s="203"/>
    </row>
    <row r="64" spans="1:17">
      <c r="A64" s="132"/>
      <c r="B64" s="132"/>
      <c r="C64" s="132"/>
      <c r="D64" s="132"/>
      <c r="E64" s="132"/>
      <c r="F64" s="132"/>
      <c r="L64" s="24"/>
      <c r="M64" s="201"/>
      <c r="N64" s="202"/>
      <c r="O64" s="202"/>
      <c r="P64" s="202"/>
      <c r="Q64" s="202"/>
    </row>
    <row r="65" spans="1:17" ht="12.75" customHeight="1">
      <c r="A65" s="132"/>
      <c r="B65" s="132"/>
      <c r="C65" s="132"/>
      <c r="D65" s="132"/>
      <c r="E65" s="132"/>
      <c r="F65" s="132"/>
      <c r="L65" s="204"/>
      <c r="M65" s="205"/>
      <c r="N65" s="206"/>
      <c r="O65" s="20"/>
      <c r="P65" s="207"/>
      <c r="Q65" s="207"/>
    </row>
    <row r="66" spans="1:17" ht="12.75" customHeight="1">
      <c r="A66" s="132"/>
      <c r="B66" s="132"/>
      <c r="C66" s="132"/>
      <c r="D66" s="132"/>
      <c r="E66" s="132"/>
      <c r="F66" s="132"/>
      <c r="L66" s="204"/>
      <c r="M66" s="205"/>
      <c r="N66" s="206"/>
      <c r="O66" s="20"/>
      <c r="P66" s="207"/>
      <c r="Q66" s="207"/>
    </row>
    <row r="67" spans="1:17" ht="12.75" customHeight="1">
      <c r="A67" s="132"/>
      <c r="B67" s="132"/>
      <c r="C67" s="132"/>
      <c r="D67" s="132"/>
      <c r="E67" s="132"/>
      <c r="F67" s="132"/>
      <c r="L67" s="204"/>
      <c r="M67" s="205"/>
      <c r="N67" s="206"/>
      <c r="O67" s="20"/>
      <c r="P67" s="207"/>
      <c r="Q67" s="207"/>
    </row>
    <row r="68" spans="1:17">
      <c r="A68" s="132"/>
      <c r="B68" s="132"/>
      <c r="C68" s="132"/>
      <c r="D68" s="132"/>
      <c r="E68" s="132"/>
      <c r="F68" s="132"/>
      <c r="L68" s="204"/>
      <c r="M68" s="15"/>
      <c r="N68" s="206"/>
      <c r="O68" s="20"/>
      <c r="P68" s="208"/>
      <c r="Q68" s="207"/>
    </row>
    <row r="69" spans="1:17">
      <c r="A69" s="132"/>
      <c r="B69" s="132"/>
      <c r="C69" s="132"/>
      <c r="D69" s="132"/>
      <c r="E69" s="132"/>
      <c r="F69" s="132"/>
      <c r="L69" s="204"/>
      <c r="N69" s="206"/>
      <c r="O69" s="20"/>
      <c r="Q69" s="207"/>
    </row>
    <row r="70" spans="1:17">
      <c r="A70" s="132"/>
      <c r="B70" s="132"/>
      <c r="C70" s="132"/>
      <c r="D70" s="132"/>
      <c r="E70" s="132"/>
      <c r="F70" s="132"/>
      <c r="L70" s="204"/>
      <c r="M70" s="10"/>
      <c r="N70" s="206"/>
      <c r="O70" s="20"/>
      <c r="Q70" s="207"/>
    </row>
    <row r="71" spans="1:17">
      <c r="A71" s="132"/>
      <c r="B71" s="132"/>
      <c r="C71" s="132"/>
      <c r="D71" s="132"/>
      <c r="E71" s="132"/>
      <c r="F71" s="132"/>
      <c r="N71" s="206"/>
      <c r="O71" s="20"/>
      <c r="Q71" s="208"/>
    </row>
    <row r="72" spans="1:17">
      <c r="A72" s="132"/>
      <c r="B72" s="132"/>
      <c r="C72" s="132"/>
      <c r="D72" s="132"/>
      <c r="E72" s="132"/>
      <c r="F72" s="132"/>
      <c r="M72" s="201"/>
      <c r="N72" s="14"/>
      <c r="O72" s="14"/>
      <c r="P72" s="25"/>
      <c r="Q72" s="25"/>
    </row>
    <row r="73" spans="1:17">
      <c r="A73" s="132"/>
      <c r="B73" s="132"/>
      <c r="C73" s="132"/>
      <c r="D73" s="132"/>
      <c r="E73" s="132"/>
      <c r="F73" s="132"/>
      <c r="L73" s="20"/>
      <c r="M73" s="10"/>
      <c r="N73" s="14"/>
      <c r="O73" s="14"/>
      <c r="P73" s="25"/>
      <c r="Q73" s="209"/>
    </row>
    <row r="74" spans="1:17">
      <c r="A74" s="132"/>
      <c r="B74" s="132"/>
      <c r="C74" s="132"/>
      <c r="D74" s="132"/>
      <c r="E74" s="132"/>
      <c r="F74" s="132"/>
      <c r="L74" s="20"/>
      <c r="M74" s="10"/>
      <c r="N74" s="14"/>
      <c r="O74" s="14"/>
      <c r="P74" s="25"/>
      <c r="Q74" s="209"/>
    </row>
    <row r="75" spans="1:17">
      <c r="A75" s="132"/>
      <c r="B75" s="132"/>
      <c r="C75" s="132"/>
      <c r="D75" s="132"/>
      <c r="E75" s="132"/>
      <c r="F75" s="132"/>
      <c r="L75" s="20"/>
      <c r="M75" s="10"/>
      <c r="N75" s="206"/>
      <c r="O75" s="20"/>
      <c r="P75" s="209"/>
      <c r="Q75" s="209"/>
    </row>
    <row r="76" spans="1:17">
      <c r="A76" s="132"/>
      <c r="B76" s="132"/>
      <c r="C76" s="132"/>
      <c r="D76" s="132"/>
      <c r="E76" s="132"/>
      <c r="F76" s="132"/>
      <c r="L76" s="20"/>
      <c r="M76" s="10"/>
      <c r="N76" s="206"/>
      <c r="O76" s="20"/>
      <c r="P76" s="209"/>
      <c r="Q76" s="209"/>
    </row>
    <row r="77" spans="1:17">
      <c r="A77" s="132"/>
      <c r="B77" s="132"/>
      <c r="C77" s="132"/>
      <c r="D77" s="132"/>
      <c r="E77" s="132"/>
      <c r="F77" s="132"/>
      <c r="L77" s="20"/>
      <c r="M77" s="10"/>
      <c r="N77" s="206"/>
      <c r="O77" s="20"/>
      <c r="P77" s="209"/>
      <c r="Q77" s="209"/>
    </row>
    <row r="78" spans="1:17">
      <c r="A78" s="132"/>
      <c r="B78" s="132"/>
      <c r="C78" s="132"/>
      <c r="D78" s="132"/>
      <c r="E78" s="132"/>
      <c r="F78" s="132"/>
      <c r="L78" s="20"/>
      <c r="M78" s="10"/>
      <c r="N78" s="206"/>
      <c r="O78" s="20"/>
      <c r="P78" s="209"/>
      <c r="Q78" s="209"/>
    </row>
    <row r="79" spans="1:17">
      <c r="A79" s="132"/>
      <c r="B79" s="210" t="s">
        <v>192</v>
      </c>
      <c r="C79" s="132"/>
      <c r="D79" s="132"/>
      <c r="E79" s="132"/>
      <c r="F79" s="132"/>
      <c r="L79" s="20"/>
      <c r="M79" s="10"/>
      <c r="N79" s="14"/>
      <c r="O79" s="14"/>
      <c r="P79" s="14"/>
      <c r="Q79" s="14"/>
    </row>
    <row r="80" spans="1:17">
      <c r="A80" s="132"/>
      <c r="B80" s="132"/>
      <c r="C80" s="132"/>
      <c r="D80" s="132"/>
      <c r="E80" s="132"/>
      <c r="F80" s="132"/>
      <c r="L80" s="20"/>
      <c r="M80" s="10"/>
      <c r="N80" s="206"/>
      <c r="O80" s="20"/>
      <c r="P80" s="209"/>
      <c r="Q80" s="209"/>
    </row>
    <row r="81" spans="1:17">
      <c r="A81" s="132"/>
      <c r="B81" s="210" t="s">
        <v>193</v>
      </c>
      <c r="C81" s="132"/>
      <c r="D81" s="132"/>
      <c r="E81" s="132"/>
      <c r="F81" s="132"/>
      <c r="L81" s="20"/>
      <c r="M81" s="10"/>
      <c r="N81" s="206"/>
      <c r="O81" s="20"/>
      <c r="P81" s="209"/>
      <c r="Q81" s="209"/>
    </row>
    <row r="82" spans="1:17">
      <c r="A82" s="132"/>
      <c r="B82" s="132"/>
      <c r="C82" s="132"/>
      <c r="D82" s="132"/>
      <c r="E82" s="132"/>
      <c r="F82" s="132"/>
    </row>
    <row r="83" spans="1:17">
      <c r="A83" s="132"/>
      <c r="B83" s="132"/>
      <c r="C83" s="132"/>
      <c r="D83" s="132"/>
      <c r="E83" s="132"/>
      <c r="F83" s="132"/>
      <c r="L83" s="24"/>
      <c r="M83" s="201"/>
      <c r="N83" s="14"/>
      <c r="O83" s="14"/>
      <c r="P83" s="25"/>
      <c r="Q83" s="25"/>
    </row>
    <row r="84" spans="1:17">
      <c r="A84" s="132"/>
      <c r="B84" s="132"/>
      <c r="C84" s="132"/>
      <c r="D84" s="132"/>
      <c r="E84" s="132"/>
      <c r="F84" s="132"/>
      <c r="L84" s="20"/>
      <c r="M84" s="10"/>
      <c r="N84" s="206"/>
      <c r="O84" s="20"/>
      <c r="P84" s="209"/>
      <c r="Q84" s="209"/>
    </row>
    <row r="85" spans="1:17">
      <c r="A85" s="132"/>
      <c r="B85" s="132"/>
      <c r="C85" s="132"/>
      <c r="D85" s="132"/>
      <c r="E85" s="132"/>
      <c r="F85" s="132"/>
      <c r="L85" s="20"/>
      <c r="M85" s="10"/>
      <c r="N85" s="206"/>
      <c r="O85" s="20"/>
      <c r="P85" s="202"/>
      <c r="Q85" s="209"/>
    </row>
    <row r="86" spans="1:17">
      <c r="A86" s="132"/>
      <c r="B86" s="132"/>
      <c r="C86" s="132"/>
      <c r="D86" s="132"/>
      <c r="E86" s="132"/>
      <c r="F86" s="132"/>
      <c r="L86" s="20"/>
      <c r="M86" s="10"/>
      <c r="N86" s="206"/>
      <c r="O86" s="20"/>
      <c r="P86" s="209"/>
      <c r="Q86" s="209"/>
    </row>
    <row r="87" spans="1:17">
      <c r="A87" s="132"/>
      <c r="B87" s="132"/>
      <c r="C87" s="132"/>
      <c r="D87" s="132"/>
      <c r="E87" s="132"/>
      <c r="F87" s="132"/>
      <c r="L87" s="20"/>
      <c r="M87" s="10"/>
      <c r="N87" s="206"/>
      <c r="O87" s="20"/>
      <c r="P87" s="209"/>
      <c r="Q87" s="209"/>
    </row>
    <row r="88" spans="1:17">
      <c r="A88" s="132"/>
      <c r="B88" s="132"/>
      <c r="C88" s="132"/>
      <c r="D88" s="132"/>
      <c r="E88" s="132"/>
      <c r="F88" s="132"/>
      <c r="L88" s="20"/>
      <c r="M88" s="10"/>
      <c r="N88" s="206"/>
      <c r="O88" s="20"/>
      <c r="P88" s="209"/>
      <c r="Q88" s="209"/>
    </row>
    <row r="89" spans="1:17">
      <c r="A89" s="132"/>
      <c r="B89" s="132"/>
      <c r="C89" s="132"/>
      <c r="D89" s="132"/>
      <c r="E89" s="132"/>
      <c r="F89" s="132"/>
      <c r="L89" s="20"/>
      <c r="M89" s="10"/>
      <c r="N89" s="206"/>
      <c r="O89" s="20"/>
      <c r="P89" s="209"/>
      <c r="Q89" s="209"/>
    </row>
    <row r="90" spans="1:17">
      <c r="A90" s="132"/>
      <c r="B90" s="132"/>
      <c r="C90" s="132"/>
      <c r="D90" s="132"/>
      <c r="E90" s="132"/>
      <c r="F90" s="132"/>
      <c r="L90" s="20"/>
      <c r="M90" s="10"/>
      <c r="N90" s="14"/>
      <c r="O90" s="14"/>
      <c r="P90" s="25"/>
      <c r="Q90" s="25"/>
    </row>
    <row r="91" spans="1:17">
      <c r="A91" s="132"/>
      <c r="B91" s="132"/>
      <c r="C91" s="132"/>
      <c r="D91" s="132"/>
      <c r="E91" s="132"/>
      <c r="F91" s="132"/>
      <c r="L91" s="24"/>
      <c r="M91" s="201"/>
      <c r="N91" s="14"/>
      <c r="O91" s="14"/>
      <c r="P91" s="25"/>
      <c r="Q91" s="25"/>
    </row>
    <row r="92" spans="1:17">
      <c r="A92" s="132"/>
      <c r="B92" s="132"/>
      <c r="C92" s="132"/>
      <c r="D92" s="132"/>
      <c r="E92" s="132"/>
      <c r="F92" s="132"/>
      <c r="L92" s="20"/>
      <c r="M92" s="10"/>
      <c r="N92" s="206"/>
      <c r="O92" s="20"/>
      <c r="P92" s="209"/>
      <c r="Q92" s="209"/>
    </row>
    <row r="93" spans="1:17">
      <c r="A93" s="211" t="s">
        <v>45</v>
      </c>
      <c r="B93" s="212" t="s">
        <v>46</v>
      </c>
      <c r="C93" s="211" t="s">
        <v>47</v>
      </c>
      <c r="D93" s="211" t="s">
        <v>48</v>
      </c>
      <c r="E93" s="211" t="s">
        <v>49</v>
      </c>
      <c r="F93" s="213" t="s">
        <v>50</v>
      </c>
      <c r="L93" s="20"/>
      <c r="M93" s="10"/>
      <c r="N93" s="14"/>
      <c r="O93" s="14"/>
      <c r="P93" s="209"/>
      <c r="Q93" s="209"/>
    </row>
    <row r="94" spans="1:17">
      <c r="A94" s="211"/>
      <c r="B94" s="212"/>
      <c r="C94" s="211"/>
      <c r="D94" s="211"/>
      <c r="E94" s="211" t="s">
        <v>51</v>
      </c>
      <c r="F94" s="213" t="s">
        <v>51</v>
      </c>
      <c r="L94" s="20"/>
      <c r="M94" s="10"/>
      <c r="N94" s="14"/>
      <c r="O94" s="14"/>
      <c r="P94" s="209"/>
      <c r="Q94" s="209"/>
    </row>
    <row r="95" spans="1:17" ht="12.75" thickBot="1">
      <c r="A95" s="214"/>
      <c r="B95" s="215" t="s">
        <v>295</v>
      </c>
      <c r="C95" s="216"/>
      <c r="D95" s="216"/>
      <c r="E95" s="216"/>
      <c r="F95" s="217">
        <f>F174</f>
        <v>0</v>
      </c>
      <c r="L95" s="20"/>
      <c r="M95" s="10"/>
      <c r="N95" s="14"/>
      <c r="O95" s="14"/>
      <c r="P95" s="209"/>
      <c r="Q95" s="209"/>
    </row>
    <row r="96" spans="1:17">
      <c r="A96" s="183"/>
      <c r="B96" s="218"/>
      <c r="C96" s="219"/>
      <c r="D96" s="219"/>
      <c r="E96" s="219"/>
      <c r="F96" s="220"/>
      <c r="L96" s="20"/>
      <c r="M96" s="10"/>
      <c r="N96" s="14"/>
      <c r="O96" s="14"/>
      <c r="P96" s="209"/>
      <c r="Q96" s="209"/>
    </row>
    <row r="97" spans="1:17">
      <c r="A97" s="183"/>
      <c r="B97" s="218"/>
      <c r="C97" s="219"/>
      <c r="D97" s="219"/>
      <c r="E97" s="219"/>
      <c r="F97" s="220"/>
      <c r="L97" s="20"/>
      <c r="M97" s="10"/>
      <c r="N97" s="14"/>
      <c r="O97" s="14"/>
      <c r="P97" s="209"/>
      <c r="Q97" s="209"/>
    </row>
    <row r="98" spans="1:17">
      <c r="A98" s="183" t="s">
        <v>194</v>
      </c>
      <c r="B98" s="218" t="s">
        <v>195</v>
      </c>
      <c r="C98" s="219"/>
      <c r="D98" s="219"/>
      <c r="E98" s="219"/>
      <c r="F98" s="219"/>
      <c r="L98" s="20"/>
      <c r="M98" s="10"/>
      <c r="N98" s="14"/>
      <c r="O98" s="14"/>
      <c r="P98" s="209"/>
      <c r="Q98" s="209"/>
    </row>
    <row r="99" spans="1:17" ht="24">
      <c r="A99" s="221" t="s">
        <v>127</v>
      </c>
      <c r="B99" s="222" t="s">
        <v>196</v>
      </c>
      <c r="C99" s="223">
        <v>3</v>
      </c>
      <c r="D99" s="224" t="s">
        <v>126</v>
      </c>
      <c r="E99" s="225"/>
      <c r="F99" s="225">
        <f t="shared" ref="F99:F104" si="0">E99*C99</f>
        <v>0</v>
      </c>
      <c r="L99" s="20"/>
      <c r="M99" s="10"/>
      <c r="N99" s="14"/>
      <c r="O99" s="14"/>
      <c r="P99" s="209"/>
      <c r="Q99" s="209"/>
    </row>
    <row r="100" spans="1:17">
      <c r="A100" s="221" t="s">
        <v>128</v>
      </c>
      <c r="B100" s="226" t="s">
        <v>197</v>
      </c>
      <c r="C100" s="173">
        <v>1</v>
      </c>
      <c r="D100" s="172" t="s">
        <v>126</v>
      </c>
      <c r="E100" s="227"/>
      <c r="F100" s="228">
        <f t="shared" si="0"/>
        <v>0</v>
      </c>
      <c r="L100" s="20"/>
      <c r="M100" s="10"/>
      <c r="N100" s="14"/>
      <c r="O100" s="14"/>
      <c r="P100" s="209"/>
      <c r="Q100" s="209"/>
    </row>
    <row r="101" spans="1:17">
      <c r="A101" s="229" t="s">
        <v>129</v>
      </c>
      <c r="B101" s="132" t="s">
        <v>198</v>
      </c>
      <c r="C101" s="173">
        <v>1</v>
      </c>
      <c r="D101" s="172" t="s">
        <v>126</v>
      </c>
      <c r="E101" s="230"/>
      <c r="F101" s="228">
        <f t="shared" si="0"/>
        <v>0</v>
      </c>
      <c r="L101" s="20"/>
      <c r="M101" s="10"/>
      <c r="N101" s="206"/>
      <c r="O101" s="20"/>
      <c r="P101" s="209"/>
      <c r="Q101" s="209"/>
    </row>
    <row r="102" spans="1:17">
      <c r="A102" s="229" t="s">
        <v>130</v>
      </c>
      <c r="B102" s="231" t="s">
        <v>199</v>
      </c>
      <c r="C102" s="232">
        <v>1</v>
      </c>
      <c r="D102" s="233" t="s">
        <v>126</v>
      </c>
      <c r="E102" s="132"/>
      <c r="F102" s="234">
        <f t="shared" si="0"/>
        <v>0</v>
      </c>
      <c r="L102" s="20"/>
      <c r="M102" s="10"/>
      <c r="N102" s="206"/>
      <c r="O102" s="20"/>
      <c r="P102" s="209"/>
      <c r="Q102" s="209"/>
    </row>
    <row r="103" spans="1:17">
      <c r="A103" s="235" t="s">
        <v>131</v>
      </c>
      <c r="B103" s="231" t="s">
        <v>200</v>
      </c>
      <c r="C103" s="173">
        <v>1</v>
      </c>
      <c r="D103" s="172" t="s">
        <v>126</v>
      </c>
      <c r="E103" s="230"/>
      <c r="F103" s="228">
        <f t="shared" si="0"/>
        <v>0</v>
      </c>
      <c r="L103" s="20"/>
      <c r="M103" s="10"/>
      <c r="N103" s="206"/>
      <c r="O103" s="20"/>
      <c r="P103" s="209"/>
      <c r="Q103" s="209"/>
    </row>
    <row r="104" spans="1:17" ht="24">
      <c r="A104" s="235" t="s">
        <v>124</v>
      </c>
      <c r="B104" s="231" t="s">
        <v>201</v>
      </c>
      <c r="C104" s="127">
        <v>2</v>
      </c>
      <c r="D104" s="126" t="s">
        <v>126</v>
      </c>
      <c r="E104" s="158"/>
      <c r="F104" s="236">
        <f t="shared" si="0"/>
        <v>0</v>
      </c>
      <c r="L104" s="20"/>
      <c r="M104" s="10"/>
      <c r="N104" s="206"/>
      <c r="O104" s="20"/>
      <c r="P104" s="209"/>
      <c r="Q104" s="209"/>
    </row>
    <row r="105" spans="1:17">
      <c r="A105" s="237"/>
      <c r="B105" s="231"/>
      <c r="C105" s="127"/>
      <c r="D105" s="126"/>
      <c r="E105" s="158"/>
      <c r="F105" s="236"/>
      <c r="L105" s="20"/>
      <c r="M105" s="10"/>
      <c r="N105" s="206"/>
      <c r="O105" s="20"/>
      <c r="P105" s="209"/>
      <c r="Q105" s="209"/>
    </row>
    <row r="106" spans="1:17">
      <c r="A106" s="238"/>
      <c r="B106" s="231"/>
      <c r="C106" s="127"/>
      <c r="D106" s="126"/>
      <c r="E106" s="158"/>
      <c r="F106" s="236"/>
      <c r="L106" s="20"/>
      <c r="M106" s="10"/>
      <c r="N106" s="206"/>
      <c r="O106" s="20"/>
      <c r="P106" s="209"/>
      <c r="Q106" s="209"/>
    </row>
    <row r="107" spans="1:17" ht="24">
      <c r="A107" s="239" t="s">
        <v>202</v>
      </c>
      <c r="B107" s="218" t="s">
        <v>203</v>
      </c>
      <c r="C107" s="232"/>
      <c r="D107" s="233"/>
      <c r="E107" s="164"/>
      <c r="F107" s="164"/>
      <c r="L107" s="20"/>
      <c r="M107" s="240"/>
      <c r="N107" s="241"/>
      <c r="O107" s="242"/>
      <c r="P107" s="202"/>
      <c r="Q107" s="25"/>
    </row>
    <row r="108" spans="1:17" ht="13.5">
      <c r="A108" s="243" t="s">
        <v>134</v>
      </c>
      <c r="B108" s="244" t="s">
        <v>204</v>
      </c>
      <c r="C108" s="245">
        <v>2</v>
      </c>
      <c r="D108" s="245" t="s">
        <v>126</v>
      </c>
      <c r="E108" s="246"/>
      <c r="F108" s="247">
        <f t="shared" ref="F108:F118" si="1">E108*C108</f>
        <v>0</v>
      </c>
      <c r="L108" s="20"/>
      <c r="M108" s="10"/>
      <c r="N108" s="206"/>
      <c r="O108" s="206"/>
      <c r="P108" s="248"/>
      <c r="Q108" s="25"/>
    </row>
    <row r="109" spans="1:17" ht="13.5">
      <c r="A109" s="249"/>
      <c r="B109" s="244" t="s">
        <v>205</v>
      </c>
      <c r="C109" s="245">
        <v>1</v>
      </c>
      <c r="D109" s="245" t="s">
        <v>126</v>
      </c>
      <c r="E109" s="246"/>
      <c r="F109" s="247">
        <f t="shared" si="1"/>
        <v>0</v>
      </c>
      <c r="L109" s="20"/>
      <c r="M109" s="250"/>
      <c r="N109" s="251"/>
      <c r="O109" s="252"/>
      <c r="P109" s="248"/>
      <c r="Q109" s="25"/>
    </row>
    <row r="110" spans="1:17">
      <c r="A110" s="253" t="s">
        <v>135</v>
      </c>
      <c r="B110" s="254" t="s">
        <v>206</v>
      </c>
      <c r="C110" s="255">
        <v>5</v>
      </c>
      <c r="D110" s="253" t="s">
        <v>7</v>
      </c>
      <c r="E110" s="247"/>
      <c r="F110" s="247">
        <f t="shared" si="1"/>
        <v>0</v>
      </c>
      <c r="L110" s="14"/>
      <c r="M110" s="10"/>
      <c r="N110" s="14"/>
      <c r="O110" s="14"/>
      <c r="P110" s="209"/>
      <c r="Q110" s="25"/>
    </row>
    <row r="111" spans="1:17">
      <c r="A111" s="253" t="s">
        <v>136</v>
      </c>
      <c r="B111" s="254" t="s">
        <v>207</v>
      </c>
      <c r="C111" s="255">
        <v>1</v>
      </c>
      <c r="D111" s="253" t="s">
        <v>7</v>
      </c>
      <c r="E111" s="247"/>
      <c r="F111" s="247">
        <f t="shared" si="1"/>
        <v>0</v>
      </c>
      <c r="M111" s="10"/>
      <c r="N111" s="14"/>
      <c r="O111" s="14"/>
      <c r="P111" s="25"/>
      <c r="Q111" s="25"/>
    </row>
    <row r="112" spans="1:17">
      <c r="A112" s="253" t="s">
        <v>137</v>
      </c>
      <c r="B112" s="256" t="s">
        <v>208</v>
      </c>
      <c r="C112" s="255">
        <v>14</v>
      </c>
      <c r="D112" s="253" t="s">
        <v>7</v>
      </c>
      <c r="E112" s="247"/>
      <c r="F112" s="247">
        <f t="shared" si="1"/>
        <v>0</v>
      </c>
      <c r="L112" s="24"/>
      <c r="M112" s="201"/>
      <c r="N112" s="10"/>
      <c r="O112" s="10"/>
      <c r="P112" s="10"/>
      <c r="Q112" s="10"/>
    </row>
    <row r="113" spans="1:17">
      <c r="A113" s="253" t="s">
        <v>138</v>
      </c>
      <c r="B113" s="257" t="s">
        <v>209</v>
      </c>
      <c r="C113" s="155">
        <v>4</v>
      </c>
      <c r="D113" s="155" t="s">
        <v>126</v>
      </c>
      <c r="E113" s="155"/>
      <c r="F113" s="155">
        <f t="shared" si="1"/>
        <v>0</v>
      </c>
      <c r="L113" s="20"/>
      <c r="M113" s="10"/>
      <c r="N113" s="206"/>
      <c r="O113" s="20"/>
      <c r="P113" s="209"/>
      <c r="Q113" s="209"/>
    </row>
    <row r="114" spans="1:17">
      <c r="A114" s="253" t="s">
        <v>139</v>
      </c>
      <c r="B114" s="254" t="s">
        <v>210</v>
      </c>
      <c r="C114" s="223">
        <f>1+1</f>
        <v>2</v>
      </c>
      <c r="D114" s="224" t="s">
        <v>126</v>
      </c>
      <c r="E114" s="258"/>
      <c r="F114" s="258">
        <f t="shared" si="1"/>
        <v>0</v>
      </c>
      <c r="L114" s="20"/>
      <c r="M114" s="10"/>
      <c r="N114" s="206"/>
      <c r="O114" s="20"/>
      <c r="P114" s="209"/>
      <c r="Q114" s="209"/>
    </row>
    <row r="115" spans="1:17">
      <c r="A115" s="253" t="s">
        <v>140</v>
      </c>
      <c r="B115" s="254" t="s">
        <v>211</v>
      </c>
      <c r="C115" s="173">
        <v>4</v>
      </c>
      <c r="D115" s="172" t="s">
        <v>126</v>
      </c>
      <c r="E115" s="259"/>
      <c r="F115" s="259">
        <f t="shared" si="1"/>
        <v>0</v>
      </c>
      <c r="L115" s="20"/>
      <c r="M115" s="10"/>
      <c r="N115" s="206"/>
      <c r="O115" s="20"/>
      <c r="P115" s="209"/>
      <c r="Q115" s="209"/>
    </row>
    <row r="116" spans="1:17">
      <c r="A116" s="249" t="s">
        <v>141</v>
      </c>
      <c r="B116" s="244" t="s">
        <v>212</v>
      </c>
      <c r="C116" s="232">
        <v>10</v>
      </c>
      <c r="D116" s="233" t="s">
        <v>213</v>
      </c>
      <c r="E116" s="260"/>
      <c r="F116" s="260">
        <f t="shared" si="1"/>
        <v>0</v>
      </c>
      <c r="L116" s="20"/>
      <c r="M116" s="10"/>
      <c r="N116" s="206"/>
      <c r="O116" s="20"/>
      <c r="P116" s="209"/>
      <c r="Q116" s="209"/>
    </row>
    <row r="117" spans="1:17">
      <c r="A117" s="253" t="s">
        <v>142</v>
      </c>
      <c r="B117" s="244" t="s">
        <v>214</v>
      </c>
      <c r="C117" s="173">
        <v>2</v>
      </c>
      <c r="D117" s="172" t="s">
        <v>126</v>
      </c>
      <c r="E117" s="259"/>
      <c r="F117" s="259">
        <f t="shared" si="1"/>
        <v>0</v>
      </c>
      <c r="L117" s="20"/>
      <c r="M117" s="10"/>
      <c r="N117" s="206"/>
      <c r="O117" s="20"/>
      <c r="P117" s="209"/>
      <c r="Q117" s="209"/>
    </row>
    <row r="118" spans="1:17">
      <c r="A118" s="253" t="s">
        <v>143</v>
      </c>
      <c r="B118" s="244" t="s">
        <v>215</v>
      </c>
      <c r="C118" s="173">
        <v>3</v>
      </c>
      <c r="D118" s="172" t="s">
        <v>126</v>
      </c>
      <c r="E118" s="259"/>
      <c r="F118" s="259">
        <f t="shared" si="1"/>
        <v>0</v>
      </c>
      <c r="L118" s="20"/>
      <c r="M118" s="10"/>
      <c r="N118" s="206"/>
      <c r="O118" s="20"/>
      <c r="P118" s="209"/>
      <c r="Q118" s="209"/>
    </row>
    <row r="119" spans="1:17">
      <c r="A119" s="132"/>
      <c r="B119" s="132"/>
      <c r="C119" s="132"/>
      <c r="D119" s="132"/>
      <c r="E119" s="132"/>
      <c r="F119" s="132"/>
      <c r="L119" s="14"/>
      <c r="M119" s="10"/>
      <c r="N119" s="206"/>
      <c r="O119" s="20"/>
      <c r="P119" s="209"/>
      <c r="Q119" s="209"/>
    </row>
    <row r="120" spans="1:17">
      <c r="A120" s="261"/>
      <c r="B120" s="262" t="s">
        <v>216</v>
      </c>
      <c r="C120" s="166"/>
      <c r="D120" s="166"/>
      <c r="E120" s="163"/>
      <c r="F120" s="163"/>
      <c r="M120" s="10"/>
      <c r="N120" s="14"/>
      <c r="O120" s="14"/>
      <c r="P120" s="25"/>
      <c r="Q120" s="25"/>
    </row>
    <row r="121" spans="1:17">
      <c r="A121" s="224" t="s">
        <v>144</v>
      </c>
      <c r="B121" s="257" t="s">
        <v>217</v>
      </c>
      <c r="C121" s="263">
        <v>14</v>
      </c>
      <c r="D121" s="233" t="s">
        <v>126</v>
      </c>
      <c r="E121" s="264"/>
      <c r="F121" s="264">
        <f t="shared" ref="F121:F126" si="2">E121*C121</f>
        <v>0</v>
      </c>
      <c r="L121" s="24"/>
      <c r="M121" s="201"/>
      <c r="Q121" s="209"/>
    </row>
    <row r="122" spans="1:17">
      <c r="A122" s="224" t="s">
        <v>145</v>
      </c>
      <c r="B122" s="254" t="s">
        <v>218</v>
      </c>
      <c r="C122" s="255">
        <v>5</v>
      </c>
      <c r="D122" s="224" t="s">
        <v>126</v>
      </c>
      <c r="E122" s="265"/>
      <c r="F122" s="247">
        <f t="shared" si="2"/>
        <v>0</v>
      </c>
      <c r="L122" s="20"/>
      <c r="M122" s="10"/>
      <c r="N122" s="206"/>
      <c r="O122" s="20"/>
      <c r="P122" s="209"/>
      <c r="Q122" s="241"/>
    </row>
    <row r="123" spans="1:17">
      <c r="A123" s="224" t="s">
        <v>146</v>
      </c>
      <c r="B123" s="254" t="s">
        <v>219</v>
      </c>
      <c r="C123" s="255">
        <v>3</v>
      </c>
      <c r="D123" s="224" t="s">
        <v>126</v>
      </c>
      <c r="E123" s="247"/>
      <c r="F123" s="247">
        <f t="shared" si="2"/>
        <v>0</v>
      </c>
      <c r="L123" s="20"/>
      <c r="M123" s="10"/>
      <c r="N123" s="14"/>
      <c r="O123" s="14"/>
      <c r="P123" s="25"/>
      <c r="Q123" s="241"/>
    </row>
    <row r="124" spans="1:17">
      <c r="A124" s="243" t="s">
        <v>147</v>
      </c>
      <c r="B124" s="254" t="s">
        <v>220</v>
      </c>
      <c r="C124" s="255">
        <v>3</v>
      </c>
      <c r="D124" s="224" t="s">
        <v>126</v>
      </c>
      <c r="E124" s="247"/>
      <c r="F124" s="247">
        <f t="shared" si="2"/>
        <v>0</v>
      </c>
      <c r="L124" s="20"/>
      <c r="M124" s="10"/>
      <c r="N124" s="206"/>
      <c r="O124" s="20"/>
      <c r="P124" s="209"/>
      <c r="Q124" s="241"/>
    </row>
    <row r="125" spans="1:17">
      <c r="A125" s="266" t="s">
        <v>148</v>
      </c>
      <c r="B125" s="254" t="s">
        <v>221</v>
      </c>
      <c r="C125" s="255">
        <v>3</v>
      </c>
      <c r="D125" s="224" t="s">
        <v>126</v>
      </c>
      <c r="E125" s="247"/>
      <c r="F125" s="247">
        <f t="shared" si="2"/>
        <v>0</v>
      </c>
      <c r="L125" s="20"/>
      <c r="M125" s="10"/>
      <c r="N125" s="206"/>
      <c r="O125" s="20"/>
      <c r="P125" s="209"/>
      <c r="Q125" s="241"/>
    </row>
    <row r="126" spans="1:17">
      <c r="A126" s="266" t="s">
        <v>222</v>
      </c>
      <c r="B126" s="267" t="s">
        <v>223</v>
      </c>
      <c r="C126" s="223">
        <v>3</v>
      </c>
      <c r="D126" s="224" t="s">
        <v>126</v>
      </c>
      <c r="E126" s="258"/>
      <c r="F126" s="258">
        <f t="shared" si="2"/>
        <v>0</v>
      </c>
      <c r="L126" s="20"/>
      <c r="M126" s="10"/>
      <c r="N126" s="202"/>
      <c r="O126" s="202"/>
      <c r="P126" s="202"/>
      <c r="Q126" s="241"/>
    </row>
    <row r="127" spans="1:17">
      <c r="A127" s="126"/>
      <c r="B127" s="231"/>
      <c r="C127" s="128"/>
      <c r="D127" s="128"/>
      <c r="E127" s="268"/>
      <c r="F127" s="268"/>
      <c r="L127" s="20"/>
      <c r="M127" s="10"/>
      <c r="N127" s="14"/>
      <c r="O127" s="20"/>
      <c r="P127" s="25"/>
      <c r="Q127" s="241"/>
    </row>
    <row r="128" spans="1:17">
      <c r="A128" s="183"/>
      <c r="B128" s="218" t="s">
        <v>224</v>
      </c>
      <c r="C128" s="155"/>
      <c r="D128" s="155"/>
      <c r="E128" s="156"/>
      <c r="F128" s="156"/>
      <c r="L128" s="20"/>
      <c r="M128" s="10"/>
      <c r="N128" s="14"/>
      <c r="O128" s="20"/>
      <c r="P128" s="25"/>
      <c r="Q128" s="241"/>
    </row>
    <row r="129" spans="1:121">
      <c r="A129" s="266" t="s">
        <v>225</v>
      </c>
      <c r="B129" s="267" t="s">
        <v>226</v>
      </c>
      <c r="C129" s="223">
        <v>216</v>
      </c>
      <c r="D129" s="224" t="s">
        <v>126</v>
      </c>
      <c r="E129" s="258"/>
      <c r="F129" s="247">
        <f>E129*C129</f>
        <v>0</v>
      </c>
      <c r="L129" s="20"/>
      <c r="M129" s="10"/>
      <c r="N129" s="202"/>
      <c r="O129" s="20"/>
      <c r="P129" s="202"/>
      <c r="Q129" s="241"/>
    </row>
    <row r="130" spans="1:121">
      <c r="A130" s="266" t="s">
        <v>227</v>
      </c>
      <c r="B130" s="269" t="s">
        <v>228</v>
      </c>
      <c r="C130" s="174">
        <v>216</v>
      </c>
      <c r="D130" s="174" t="s">
        <v>126</v>
      </c>
      <c r="E130" s="258"/>
      <c r="F130" s="247">
        <f t="shared" ref="F130:F135" si="3">E130*C130</f>
        <v>0</v>
      </c>
      <c r="L130" s="20"/>
      <c r="M130" s="10"/>
      <c r="N130" s="202"/>
      <c r="O130" s="20"/>
      <c r="P130" s="202"/>
      <c r="Q130" s="241"/>
    </row>
    <row r="131" spans="1:121">
      <c r="A131" s="266" t="s">
        <v>229</v>
      </c>
      <c r="B131" s="270" t="s">
        <v>230</v>
      </c>
      <c r="C131" s="166">
        <v>216</v>
      </c>
      <c r="D131" s="166" t="s">
        <v>126</v>
      </c>
      <c r="E131" s="258"/>
      <c r="F131" s="247">
        <f t="shared" si="3"/>
        <v>0</v>
      </c>
      <c r="L131" s="10"/>
      <c r="M131" s="10"/>
      <c r="N131" s="271"/>
      <c r="O131" s="272"/>
      <c r="P131" s="273"/>
      <c r="Q131" s="209"/>
    </row>
    <row r="132" spans="1:121">
      <c r="A132" s="266" t="s">
        <v>231</v>
      </c>
      <c r="B132" s="157" t="s">
        <v>232</v>
      </c>
      <c r="C132" s="155">
        <v>8</v>
      </c>
      <c r="D132" s="174" t="s">
        <v>7</v>
      </c>
      <c r="E132" s="258"/>
      <c r="F132" s="247">
        <f t="shared" si="3"/>
        <v>0</v>
      </c>
      <c r="L132" s="274"/>
      <c r="M132" s="275"/>
      <c r="N132" s="206"/>
      <c r="O132" s="20"/>
      <c r="P132" s="209"/>
      <c r="Q132" s="209"/>
    </row>
    <row r="133" spans="1:121">
      <c r="A133" s="266" t="s">
        <v>233</v>
      </c>
      <c r="B133" s="269" t="s">
        <v>234</v>
      </c>
      <c r="C133" s="174">
        <v>10</v>
      </c>
      <c r="D133" s="155" t="s">
        <v>126</v>
      </c>
      <c r="E133" s="258"/>
      <c r="F133" s="247">
        <f t="shared" si="3"/>
        <v>0</v>
      </c>
      <c r="L133" s="276"/>
      <c r="M133" s="17"/>
      <c r="N133" s="277"/>
      <c r="O133" s="277"/>
      <c r="P133" s="277"/>
      <c r="Q133" s="277"/>
    </row>
    <row r="134" spans="1:121">
      <c r="A134" s="266" t="s">
        <v>235</v>
      </c>
      <c r="B134" s="157" t="s">
        <v>236</v>
      </c>
      <c r="C134" s="155">
        <v>10</v>
      </c>
      <c r="D134" s="128" t="s">
        <v>126</v>
      </c>
      <c r="E134" s="258"/>
      <c r="F134" s="247">
        <f t="shared" si="3"/>
        <v>0</v>
      </c>
      <c r="L134" s="276"/>
      <c r="M134" s="17"/>
      <c r="N134" s="276"/>
      <c r="O134" s="276"/>
      <c r="P134" s="276"/>
      <c r="Q134" s="276"/>
    </row>
    <row r="135" spans="1:121">
      <c r="A135" s="266" t="s">
        <v>237</v>
      </c>
      <c r="B135" s="269" t="s">
        <v>238</v>
      </c>
      <c r="C135" s="174">
        <v>20</v>
      </c>
      <c r="D135" s="174" t="s">
        <v>126</v>
      </c>
      <c r="E135" s="258"/>
      <c r="F135" s="247">
        <f t="shared" si="3"/>
        <v>0</v>
      </c>
      <c r="L135" s="13"/>
      <c r="M135" s="13"/>
      <c r="N135" s="276"/>
      <c r="O135" s="276"/>
      <c r="P135" s="276"/>
      <c r="Q135" s="276"/>
    </row>
    <row r="136" spans="1:121">
      <c r="A136" s="266" t="s">
        <v>239</v>
      </c>
      <c r="B136" s="257" t="s">
        <v>240</v>
      </c>
      <c r="C136" s="263">
        <v>4</v>
      </c>
      <c r="D136" s="249" t="s">
        <v>126</v>
      </c>
      <c r="E136" s="247"/>
      <c r="F136" s="247">
        <f>E136*C136</f>
        <v>0</v>
      </c>
    </row>
    <row r="137" spans="1:121" ht="12" customHeight="1">
      <c r="A137" s="266" t="s">
        <v>241</v>
      </c>
      <c r="B137" s="257" t="s">
        <v>242</v>
      </c>
      <c r="C137" s="232">
        <v>2</v>
      </c>
      <c r="D137" s="233" t="s">
        <v>126</v>
      </c>
      <c r="E137" s="258"/>
      <c r="F137" s="258">
        <f>E137*C137</f>
        <v>0</v>
      </c>
    </row>
    <row r="138" spans="1:121" ht="12" customHeight="1">
      <c r="A138" s="266" t="s">
        <v>243</v>
      </c>
      <c r="B138" s="269" t="s">
        <v>244</v>
      </c>
      <c r="C138" s="174">
        <v>10</v>
      </c>
      <c r="D138" s="174" t="s">
        <v>126</v>
      </c>
      <c r="E138" s="259"/>
      <c r="F138" s="278">
        <f>E138*C138</f>
        <v>0</v>
      </c>
    </row>
    <row r="139" spans="1:121" ht="12" customHeight="1">
      <c r="A139" s="233"/>
      <c r="B139" s="231"/>
      <c r="C139" s="155"/>
      <c r="D139" s="155"/>
      <c r="E139" s="260"/>
      <c r="F139" s="156"/>
    </row>
    <row r="140" spans="1:121" ht="12" customHeight="1">
      <c r="A140" s="279"/>
      <c r="B140" s="218" t="s">
        <v>245</v>
      </c>
      <c r="C140" s="155"/>
      <c r="D140" s="155"/>
      <c r="E140" s="260"/>
      <c r="F140" s="163"/>
    </row>
    <row r="141" spans="1:121">
      <c r="A141" s="172" t="s">
        <v>246</v>
      </c>
      <c r="B141" s="269" t="s">
        <v>247</v>
      </c>
      <c r="C141" s="280">
        <v>5</v>
      </c>
      <c r="D141" s="281" t="s">
        <v>23</v>
      </c>
      <c r="E141" s="282"/>
      <c r="F141" s="278">
        <f t="shared" ref="F141:F144" si="4">E141*C141</f>
        <v>0</v>
      </c>
    </row>
    <row r="142" spans="1:121">
      <c r="A142" s="172" t="s">
        <v>248</v>
      </c>
      <c r="B142" s="269" t="s">
        <v>249</v>
      </c>
      <c r="C142" s="232">
        <v>40</v>
      </c>
      <c r="D142" s="219" t="s">
        <v>23</v>
      </c>
      <c r="E142" s="219"/>
      <c r="F142" s="278">
        <f t="shared" si="4"/>
        <v>0</v>
      </c>
    </row>
    <row r="143" spans="1:121" s="283" customFormat="1">
      <c r="A143" s="282" t="s">
        <v>250</v>
      </c>
      <c r="B143" s="269" t="s">
        <v>251</v>
      </c>
      <c r="C143" s="282">
        <v>7</v>
      </c>
      <c r="D143" s="282" t="s">
        <v>28</v>
      </c>
      <c r="E143" s="282"/>
      <c r="F143" s="282">
        <f t="shared" si="4"/>
        <v>0</v>
      </c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</row>
    <row r="144" spans="1:121">
      <c r="A144" s="172" t="s">
        <v>252</v>
      </c>
      <c r="B144" s="269" t="s">
        <v>253</v>
      </c>
      <c r="C144" s="284">
        <v>5</v>
      </c>
      <c r="D144" s="285" t="s">
        <v>7</v>
      </c>
      <c r="E144" s="286"/>
      <c r="F144" s="278">
        <f t="shared" si="4"/>
        <v>0</v>
      </c>
    </row>
    <row r="145" spans="1:6">
      <c r="A145" s="126"/>
      <c r="B145" s="287"/>
      <c r="C145" s="288"/>
      <c r="D145" s="289"/>
      <c r="E145" s="290"/>
      <c r="F145" s="268"/>
    </row>
    <row r="146" spans="1:6">
      <c r="A146" s="233"/>
      <c r="B146" s="218" t="s">
        <v>254</v>
      </c>
      <c r="C146" s="291"/>
      <c r="D146" s="292"/>
      <c r="E146" s="293"/>
      <c r="F146" s="163"/>
    </row>
    <row r="147" spans="1:6">
      <c r="A147" s="172" t="s">
        <v>255</v>
      </c>
      <c r="B147" s="269" t="s">
        <v>256</v>
      </c>
      <c r="C147" s="282">
        <v>2</v>
      </c>
      <c r="D147" s="282" t="s">
        <v>126</v>
      </c>
      <c r="E147" s="282"/>
      <c r="F147" s="282">
        <f t="shared" ref="F147:F150" si="5">E147*C147</f>
        <v>0</v>
      </c>
    </row>
    <row r="148" spans="1:6">
      <c r="A148" s="172" t="s">
        <v>257</v>
      </c>
      <c r="B148" s="269" t="s">
        <v>258</v>
      </c>
      <c r="C148" s="282">
        <v>2</v>
      </c>
      <c r="D148" s="282" t="s">
        <v>126</v>
      </c>
      <c r="E148" s="282"/>
      <c r="F148" s="282">
        <f t="shared" si="5"/>
        <v>0</v>
      </c>
    </row>
    <row r="149" spans="1:6">
      <c r="A149" s="172" t="s">
        <v>259</v>
      </c>
      <c r="B149" s="269" t="s">
        <v>260</v>
      </c>
      <c r="C149" s="282">
        <v>1</v>
      </c>
      <c r="D149" s="282" t="s">
        <v>126</v>
      </c>
      <c r="E149" s="282"/>
      <c r="F149" s="282">
        <f t="shared" si="5"/>
        <v>0</v>
      </c>
    </row>
    <row r="150" spans="1:6">
      <c r="A150" s="172" t="s">
        <v>261</v>
      </c>
      <c r="B150" s="269" t="s">
        <v>262</v>
      </c>
      <c r="C150" s="282">
        <v>1</v>
      </c>
      <c r="D150" s="282" t="s">
        <v>126</v>
      </c>
      <c r="E150" s="282"/>
      <c r="F150" s="282">
        <f t="shared" si="5"/>
        <v>0</v>
      </c>
    </row>
    <row r="151" spans="1:6">
      <c r="A151" s="126"/>
      <c r="B151" s="287"/>
      <c r="C151" s="294"/>
      <c r="D151" s="295"/>
      <c r="E151" s="296"/>
      <c r="F151" s="156"/>
    </row>
    <row r="152" spans="1:6">
      <c r="A152" s="155"/>
      <c r="B152" s="157"/>
      <c r="C152" s="155"/>
      <c r="D152" s="155"/>
      <c r="E152" s="260"/>
      <c r="F152" s="156"/>
    </row>
    <row r="153" spans="1:6">
      <c r="A153" s="261" t="s">
        <v>263</v>
      </c>
      <c r="B153" s="262" t="s">
        <v>264</v>
      </c>
      <c r="C153" s="270"/>
      <c r="D153" s="270"/>
      <c r="E153" s="270"/>
      <c r="F153" s="270"/>
    </row>
    <row r="154" spans="1:6">
      <c r="A154" s="172" t="s">
        <v>265</v>
      </c>
      <c r="B154" s="257" t="s">
        <v>266</v>
      </c>
      <c r="C154" s="263">
        <v>10</v>
      </c>
      <c r="D154" s="249" t="s">
        <v>267</v>
      </c>
      <c r="E154" s="264"/>
      <c r="F154" s="264">
        <f>E154*C154</f>
        <v>0</v>
      </c>
    </row>
    <row r="155" spans="1:6">
      <c r="A155" s="172" t="s">
        <v>268</v>
      </c>
      <c r="B155" s="267" t="s">
        <v>269</v>
      </c>
      <c r="C155" s="223">
        <v>12</v>
      </c>
      <c r="D155" s="224" t="s">
        <v>267</v>
      </c>
      <c r="E155" s="258"/>
      <c r="F155" s="258">
        <f>E155*C155</f>
        <v>0</v>
      </c>
    </row>
    <row r="156" spans="1:6">
      <c r="A156" s="172" t="s">
        <v>270</v>
      </c>
      <c r="B156" s="269" t="s">
        <v>271</v>
      </c>
      <c r="C156" s="173">
        <v>2</v>
      </c>
      <c r="D156" s="172" t="s">
        <v>126</v>
      </c>
      <c r="E156" s="259"/>
      <c r="F156" s="259">
        <f>E156*C156</f>
        <v>0</v>
      </c>
    </row>
    <row r="157" spans="1:6">
      <c r="A157" s="155"/>
      <c r="B157" s="157"/>
      <c r="C157" s="232"/>
      <c r="D157" s="233"/>
      <c r="E157" s="260"/>
      <c r="F157" s="260"/>
    </row>
    <row r="158" spans="1:6">
      <c r="A158" s="132"/>
      <c r="B158" s="157"/>
      <c r="C158" s="155"/>
      <c r="D158" s="155"/>
      <c r="E158" s="156"/>
      <c r="F158" s="156"/>
    </row>
    <row r="159" spans="1:6">
      <c r="A159" s="261" t="s">
        <v>272</v>
      </c>
      <c r="B159" s="262" t="s">
        <v>273</v>
      </c>
      <c r="C159" s="161"/>
      <c r="D159" s="161"/>
      <c r="E159" s="161"/>
      <c r="F159" s="264"/>
    </row>
    <row r="160" spans="1:6">
      <c r="A160" s="249" t="s">
        <v>274</v>
      </c>
      <c r="B160" s="257" t="s">
        <v>275</v>
      </c>
      <c r="C160" s="263">
        <v>1</v>
      </c>
      <c r="D160" s="249" t="s">
        <v>126</v>
      </c>
      <c r="E160" s="264"/>
      <c r="F160" s="176">
        <f t="shared" ref="F160:F165" si="6">C160*E160</f>
        <v>0</v>
      </c>
    </row>
    <row r="161" spans="1:6">
      <c r="A161" s="253" t="s">
        <v>276</v>
      </c>
      <c r="B161" s="254" t="s">
        <v>277</v>
      </c>
      <c r="C161" s="155">
        <v>4</v>
      </c>
      <c r="D161" s="155" t="s">
        <v>126</v>
      </c>
      <c r="E161" s="156"/>
      <c r="F161" s="176">
        <f t="shared" si="6"/>
        <v>0</v>
      </c>
    </row>
    <row r="162" spans="1:6">
      <c r="A162" s="253" t="s">
        <v>278</v>
      </c>
      <c r="B162" s="254" t="s">
        <v>279</v>
      </c>
      <c r="C162" s="223">
        <v>1</v>
      </c>
      <c r="D162" s="224" t="s">
        <v>126</v>
      </c>
      <c r="E162" s="258"/>
      <c r="F162" s="176">
        <f t="shared" si="6"/>
        <v>0</v>
      </c>
    </row>
    <row r="163" spans="1:6">
      <c r="A163" s="224" t="s">
        <v>280</v>
      </c>
      <c r="B163" s="254" t="s">
        <v>281</v>
      </c>
      <c r="C163" s="173">
        <v>1</v>
      </c>
      <c r="D163" s="172" t="s">
        <v>126</v>
      </c>
      <c r="E163" s="259"/>
      <c r="F163" s="176">
        <f t="shared" si="6"/>
        <v>0</v>
      </c>
    </row>
    <row r="164" spans="1:6">
      <c r="A164" s="172" t="s">
        <v>282</v>
      </c>
      <c r="B164" s="270" t="s">
        <v>283</v>
      </c>
      <c r="C164" s="102">
        <v>4</v>
      </c>
      <c r="D164" s="102" t="s">
        <v>126</v>
      </c>
      <c r="E164" s="102"/>
      <c r="F164" s="176">
        <f t="shared" si="6"/>
        <v>0</v>
      </c>
    </row>
    <row r="165" spans="1:6">
      <c r="A165" s="126" t="s">
        <v>284</v>
      </c>
      <c r="B165" s="157" t="s">
        <v>285</v>
      </c>
      <c r="C165" s="155">
        <v>2</v>
      </c>
      <c r="D165" s="172" t="s">
        <v>126</v>
      </c>
      <c r="E165" s="278"/>
      <c r="F165" s="176">
        <f t="shared" si="6"/>
        <v>0</v>
      </c>
    </row>
    <row r="166" spans="1:6">
      <c r="A166" s="126" t="s">
        <v>286</v>
      </c>
      <c r="B166" s="231" t="s">
        <v>287</v>
      </c>
      <c r="C166" s="128">
        <v>3</v>
      </c>
      <c r="D166" s="126" t="s">
        <v>126</v>
      </c>
      <c r="E166" s="156"/>
      <c r="F166" s="176">
        <f>C166*E166</f>
        <v>0</v>
      </c>
    </row>
    <row r="167" spans="1:6">
      <c r="A167" s="172" t="s">
        <v>288</v>
      </c>
      <c r="B167" s="269" t="s">
        <v>289</v>
      </c>
      <c r="C167" s="282">
        <v>3</v>
      </c>
      <c r="D167" s="172" t="s">
        <v>126</v>
      </c>
      <c r="E167" s="282"/>
      <c r="F167" s="280">
        <f>C167*E167</f>
        <v>0</v>
      </c>
    </row>
    <row r="168" spans="1:6">
      <c r="A168" s="233"/>
      <c r="B168" s="157"/>
      <c r="C168" s="219"/>
      <c r="D168" s="233"/>
      <c r="E168" s="219"/>
      <c r="F168" s="164"/>
    </row>
    <row r="169" spans="1:6">
      <c r="A169" s="157"/>
      <c r="B169" s="157"/>
      <c r="C169" s="297"/>
      <c r="D169" s="298"/>
      <c r="E169" s="299"/>
      <c r="F169" s="260"/>
    </row>
    <row r="170" spans="1:6">
      <c r="A170" s="300">
        <v>44682</v>
      </c>
      <c r="B170" s="301" t="s">
        <v>113</v>
      </c>
      <c r="C170" s="302">
        <v>80</v>
      </c>
      <c r="D170" s="279" t="s">
        <v>28</v>
      </c>
      <c r="E170" s="303"/>
      <c r="F170" s="303">
        <f>E170*C170</f>
        <v>0</v>
      </c>
    </row>
    <row r="171" spans="1:6">
      <c r="A171" s="304" t="s">
        <v>290</v>
      </c>
      <c r="B171" s="189" t="s">
        <v>291</v>
      </c>
      <c r="C171" s="305">
        <v>0.87</v>
      </c>
      <c r="D171" s="305" t="s">
        <v>10</v>
      </c>
      <c r="E171" s="305"/>
      <c r="F171" s="305">
        <f>C171*E171</f>
        <v>0</v>
      </c>
    </row>
    <row r="172" spans="1:6">
      <c r="A172" s="304" t="s">
        <v>292</v>
      </c>
      <c r="B172" s="306" t="s">
        <v>293</v>
      </c>
      <c r="C172" s="307"/>
      <c r="D172" s="307"/>
      <c r="E172" s="307"/>
      <c r="F172" s="307"/>
    </row>
    <row r="173" spans="1:6" ht="12.75" thickBot="1">
      <c r="A173" s="178"/>
      <c r="B173" s="178"/>
      <c r="C173" s="188"/>
      <c r="D173" s="188"/>
      <c r="E173" s="188"/>
      <c r="F173" s="188"/>
    </row>
    <row r="174" spans="1:6" ht="12.75" thickBot="1">
      <c r="A174" s="308" t="s">
        <v>294</v>
      </c>
      <c r="B174" s="309" t="str">
        <f>B95&amp;" celkem bez DPH"</f>
        <v>PS 01 Strojní část čerpací stanice Kamenné lázně celkem bez DPH</v>
      </c>
      <c r="C174" s="310"/>
      <c r="D174" s="311"/>
      <c r="E174" s="312"/>
      <c r="F174" s="313">
        <f>SUM(F99:F171)</f>
        <v>0</v>
      </c>
    </row>
  </sheetData>
  <mergeCells count="4">
    <mergeCell ref="E1:F1"/>
    <mergeCell ref="A2:B2"/>
    <mergeCell ref="E2:F2"/>
    <mergeCell ref="B34:D34"/>
  </mergeCells>
  <printOptions horizontalCentered="1"/>
  <pageMargins left="1.1811023622047245" right="1.1417322834645669" top="0.59055118110236227" bottom="1.0629921259842521" header="1.3779527559055118" footer="0.78740157480314965"/>
  <pageSetup paperSize="9" scale="65" firstPageNumber="0" fitToHeight="0" orientation="portrait" r:id="rId1"/>
  <headerFooter alignWithMargins="0">
    <oddFooter>&amp;C&amp;"Times New Roman,obyčejné"&amp;12Stránka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89"/>
  <sheetViews>
    <sheetView topLeftCell="A147" zoomScale="124" zoomScaleNormal="124" workbookViewId="0">
      <selection activeCell="E167" sqref="E167:E176"/>
    </sheetView>
  </sheetViews>
  <sheetFormatPr defaultColWidth="9.5" defaultRowHeight="12"/>
  <cols>
    <col min="1" max="1" width="10.33203125" style="9" customWidth="1"/>
    <col min="2" max="2" width="67" style="10" customWidth="1"/>
    <col min="3" max="3" width="9.5" style="11" customWidth="1"/>
    <col min="4" max="4" width="11" style="14" customWidth="1"/>
    <col min="5" max="5" width="12.33203125" style="14" customWidth="1"/>
    <col min="6" max="6" width="10.6640625" style="9" customWidth="1"/>
    <col min="7" max="16384" width="9.5" style="9"/>
  </cols>
  <sheetData>
    <row r="1" spans="1:6" s="4" customFormat="1" ht="12" customHeight="1">
      <c r="A1" s="409" t="s">
        <v>91</v>
      </c>
      <c r="B1" s="409"/>
      <c r="C1" s="132"/>
      <c r="D1" s="164"/>
      <c r="E1" s="404" t="s">
        <v>41</v>
      </c>
      <c r="F1" s="404"/>
    </row>
    <row r="2" spans="1:6" s="4" customFormat="1" ht="12" customHeight="1">
      <c r="A2" s="405" t="s">
        <v>53</v>
      </c>
      <c r="B2" s="405"/>
      <c r="C2" s="132"/>
      <c r="D2" s="164"/>
      <c r="E2" s="404" t="s">
        <v>42</v>
      </c>
      <c r="F2" s="404"/>
    </row>
    <row r="3" spans="1:6" s="4" customFormat="1">
      <c r="A3" s="165" t="s">
        <v>44</v>
      </c>
      <c r="B3" s="161"/>
      <c r="C3" s="161"/>
      <c r="D3" s="163"/>
      <c r="E3" s="166"/>
      <c r="F3" s="162" t="s">
        <v>43</v>
      </c>
    </row>
    <row r="4" spans="1:6" s="4" customFormat="1">
      <c r="B4" s="3"/>
      <c r="C4" s="1"/>
      <c r="D4" s="23"/>
      <c r="E4" s="23"/>
    </row>
    <row r="5" spans="1:6" s="4" customFormat="1">
      <c r="A5" s="2"/>
      <c r="B5" s="2"/>
      <c r="C5" s="5"/>
      <c r="D5" s="23"/>
      <c r="E5" s="5"/>
    </row>
    <row r="6" spans="1:6" s="4" customFormat="1">
      <c r="A6" s="2"/>
      <c r="B6" s="2"/>
      <c r="D6" s="23"/>
      <c r="E6" s="23"/>
    </row>
    <row r="7" spans="1:6" s="4" customFormat="1">
      <c r="A7" s="2"/>
      <c r="B7" s="2"/>
      <c r="C7" s="5"/>
      <c r="D7" s="23"/>
      <c r="E7" s="23"/>
    </row>
    <row r="8" spans="1:6" s="4" customFormat="1">
      <c r="A8" s="2"/>
      <c r="B8" s="2"/>
      <c r="C8" s="5"/>
      <c r="D8" s="23"/>
      <c r="E8" s="23"/>
    </row>
    <row r="9" spans="1:6" s="6" customFormat="1" ht="12.75">
      <c r="B9" s="7"/>
      <c r="C9" s="8"/>
      <c r="D9" s="8"/>
      <c r="E9" s="7"/>
    </row>
    <row r="11" spans="1:6" s="4" customFormat="1">
      <c r="D11" s="23"/>
      <c r="E11" s="23"/>
    </row>
    <row r="14" spans="1:6">
      <c r="A14" s="41"/>
    </row>
    <row r="18" spans="1:5">
      <c r="A18" s="2"/>
      <c r="B18" s="9"/>
      <c r="C18" s="9"/>
    </row>
    <row r="19" spans="1:5">
      <c r="A19" s="2"/>
      <c r="B19" s="9"/>
      <c r="C19" s="9"/>
    </row>
    <row r="20" spans="1:5">
      <c r="A20" s="2"/>
      <c r="B20" s="9"/>
      <c r="C20" s="9"/>
    </row>
    <row r="21" spans="1:5" s="13" customFormat="1">
      <c r="A21" s="2"/>
      <c r="B21" s="9"/>
      <c r="C21" s="9"/>
      <c r="D21" s="14"/>
      <c r="E21" s="14"/>
    </row>
    <row r="22" spans="1:5" s="13" customFormat="1">
      <c r="A22" s="24"/>
      <c r="B22" s="9"/>
      <c r="C22" s="9"/>
      <c r="D22" s="14"/>
      <c r="E22" s="14"/>
    </row>
    <row r="23" spans="1:5" s="13" customFormat="1" ht="12.75">
      <c r="A23" s="32"/>
      <c r="B23" s="9"/>
      <c r="C23" s="9"/>
      <c r="D23" s="14"/>
      <c r="E23" s="14"/>
    </row>
    <row r="24" spans="1:5">
      <c r="A24" s="14"/>
    </row>
    <row r="25" spans="1:5">
      <c r="A25" s="14"/>
      <c r="B25" s="15"/>
      <c r="C25" s="16"/>
    </row>
    <row r="26" spans="1:5">
      <c r="A26" s="14"/>
      <c r="B26" s="15"/>
      <c r="C26" s="16"/>
    </row>
    <row r="27" spans="1:5" ht="7.5" customHeight="1">
      <c r="A27" s="14"/>
      <c r="B27" s="15"/>
      <c r="C27" s="16"/>
    </row>
    <row r="28" spans="1:5" ht="26.25" customHeight="1">
      <c r="A28" s="12"/>
      <c r="B28" s="413" t="s">
        <v>188</v>
      </c>
      <c r="C28" s="414"/>
      <c r="D28" s="414"/>
    </row>
    <row r="29" spans="1:5">
      <c r="A29" s="33"/>
      <c r="C29" s="18"/>
    </row>
    <row r="30" spans="1:5" ht="20.25" customHeight="1">
      <c r="A30" s="34"/>
      <c r="B30" s="410"/>
      <c r="C30" s="410"/>
      <c r="D30" s="410"/>
    </row>
    <row r="31" spans="1:5" ht="15">
      <c r="A31" s="19"/>
    </row>
    <row r="32" spans="1:5" ht="15">
      <c r="A32" s="19"/>
    </row>
    <row r="33" spans="1:5">
      <c r="A33" s="20"/>
    </row>
    <row r="34" spans="1:5">
      <c r="A34" s="20"/>
    </row>
    <row r="35" spans="1:5">
      <c r="A35" s="20"/>
    </row>
    <row r="36" spans="1:5" s="10" customFormat="1" ht="14.25" customHeight="1">
      <c r="A36" s="20"/>
      <c r="B36" s="89"/>
      <c r="C36" s="90"/>
      <c r="D36" s="91"/>
      <c r="E36" s="88"/>
    </row>
    <row r="37" spans="1:5">
      <c r="A37" s="20"/>
      <c r="D37" s="42"/>
      <c r="E37" s="42"/>
    </row>
    <row r="38" spans="1:5">
      <c r="A38" s="20"/>
      <c r="D38" s="42"/>
      <c r="E38" s="42"/>
    </row>
    <row r="39" spans="1:5">
      <c r="A39" s="20"/>
      <c r="D39" s="42"/>
      <c r="E39" s="42"/>
    </row>
    <row r="40" spans="1:5">
      <c r="A40" s="20"/>
      <c r="D40" s="42"/>
      <c r="E40" s="42"/>
    </row>
    <row r="41" spans="1:5">
      <c r="A41" s="20"/>
      <c r="D41" s="42"/>
      <c r="E41" s="42"/>
    </row>
    <row r="42" spans="1:5" ht="12.75">
      <c r="A42" s="20"/>
      <c r="B42" s="170" t="s">
        <v>54</v>
      </c>
      <c r="C42" s="167"/>
      <c r="D42" s="408">
        <f>F83</f>
        <v>0</v>
      </c>
      <c r="E42" s="408"/>
    </row>
    <row r="43" spans="1:5" ht="14.25" customHeight="1">
      <c r="A43" s="20"/>
      <c r="B43" s="157"/>
      <c r="C43" s="154"/>
      <c r="D43" s="155"/>
      <c r="E43" s="155"/>
    </row>
    <row r="44" spans="1:5" ht="14.25" customHeight="1">
      <c r="A44" s="20"/>
      <c r="B44" s="171" t="s">
        <v>55</v>
      </c>
      <c r="C44" s="167"/>
      <c r="D44" s="408">
        <f>0.21*D42</f>
        <v>0</v>
      </c>
      <c r="E44" s="408"/>
    </row>
    <row r="45" spans="1:5" ht="15" customHeight="1">
      <c r="A45" s="20"/>
      <c r="B45" s="157"/>
      <c r="C45" s="154"/>
      <c r="D45" s="155"/>
      <c r="E45" s="155"/>
    </row>
    <row r="46" spans="1:5" ht="12.75">
      <c r="A46" s="20"/>
      <c r="B46" s="168" t="s">
        <v>56</v>
      </c>
      <c r="C46" s="169"/>
      <c r="D46" s="412">
        <f>SUM(D42:E44)</f>
        <v>0</v>
      </c>
      <c r="E46" s="412"/>
    </row>
    <row r="47" spans="1:5">
      <c r="A47" s="20"/>
    </row>
    <row r="49" spans="2:3" s="9" customFormat="1">
      <c r="B49" s="10"/>
      <c r="C49" s="11"/>
    </row>
    <row r="50" spans="2:3" s="9" customFormat="1">
      <c r="B50" s="10"/>
      <c r="C50" s="11"/>
    </row>
    <row r="51" spans="2:3" s="9" customFormat="1">
      <c r="B51" s="10"/>
      <c r="C51" s="11"/>
    </row>
    <row r="52" spans="2:3" s="9" customFormat="1">
      <c r="B52" s="10"/>
      <c r="C52" s="11"/>
    </row>
    <row r="53" spans="2:3" s="9" customFormat="1">
      <c r="B53" s="10"/>
      <c r="C53" s="11"/>
    </row>
    <row r="54" spans="2:3" s="9" customFormat="1">
      <c r="B54" s="10"/>
      <c r="C54" s="11"/>
    </row>
    <row r="55" spans="2:3" s="9" customFormat="1">
      <c r="B55" s="10"/>
      <c r="C55" s="11"/>
    </row>
    <row r="56" spans="2:3" s="9" customFormat="1">
      <c r="B56" s="10"/>
      <c r="C56" s="11"/>
    </row>
    <row r="57" spans="2:3" s="9" customFormat="1">
      <c r="B57" s="10"/>
      <c r="C57" s="11"/>
    </row>
    <row r="58" spans="2:3" s="9" customFormat="1">
      <c r="B58" s="10"/>
      <c r="C58" s="11"/>
    </row>
    <row r="62" spans="2:3" s="9" customFormat="1">
      <c r="B62" s="10"/>
      <c r="C62" s="11"/>
    </row>
    <row r="63" spans="2:3" s="9" customFormat="1">
      <c r="B63" s="10"/>
      <c r="C63" s="11"/>
    </row>
    <row r="64" spans="2:3" s="9" customFormat="1">
      <c r="B64" s="10"/>
      <c r="C64" s="11"/>
    </row>
    <row r="66" spans="1:7">
      <c r="B66" s="132" t="s">
        <v>52</v>
      </c>
    </row>
    <row r="67" spans="1:7">
      <c r="B67" s="157"/>
    </row>
    <row r="68" spans="1:7">
      <c r="B68" s="132" t="s">
        <v>187</v>
      </c>
    </row>
    <row r="69" spans="1:7" ht="13.5" customHeight="1"/>
    <row r="70" spans="1:7" ht="13.5" customHeight="1"/>
    <row r="71" spans="1:7" ht="13.5" customHeight="1"/>
    <row r="72" spans="1:7" ht="13.5" customHeight="1"/>
    <row r="73" spans="1:7" ht="13.5" customHeight="1"/>
    <row r="77" spans="1:7">
      <c r="A77" s="21"/>
      <c r="B77" s="158" t="str">
        <f>A1</f>
        <v>Nová přípojka termální vody pro AQUACENTRUM Teplice</v>
      </c>
      <c r="C77" s="159"/>
      <c r="D77" s="92"/>
      <c r="E77" s="411" t="s">
        <v>41</v>
      </c>
      <c r="F77" s="411"/>
      <c r="G77" s="29"/>
    </row>
    <row r="78" spans="1:7">
      <c r="A78" s="22"/>
      <c r="B78" s="132" t="str">
        <f>A2</f>
        <v>Strojovna tepelných čerpadel</v>
      </c>
      <c r="C78" s="160"/>
      <c r="D78" s="94"/>
      <c r="E78" s="404" t="s">
        <v>42</v>
      </c>
      <c r="F78" s="404"/>
      <c r="G78" s="27"/>
    </row>
    <row r="79" spans="1:7">
      <c r="A79" s="35"/>
      <c r="B79" s="161" t="str">
        <f>A3</f>
        <v xml:space="preserve"> 11/2022</v>
      </c>
      <c r="C79" s="162"/>
      <c r="D79" s="96"/>
      <c r="E79" s="163"/>
      <c r="F79" s="162" t="s">
        <v>43</v>
      </c>
      <c r="G79" s="27"/>
    </row>
    <row r="80" spans="1:7">
      <c r="A80" s="97"/>
      <c r="B80" s="93"/>
      <c r="C80" s="98"/>
      <c r="D80" s="94"/>
      <c r="E80" s="99"/>
      <c r="F80" s="98"/>
      <c r="G80" s="27"/>
    </row>
    <row r="81" spans="1:7" ht="12" customHeight="1">
      <c r="A81" s="37" t="s">
        <v>45</v>
      </c>
      <c r="B81" s="38" t="s">
        <v>46</v>
      </c>
      <c r="C81" s="37" t="s">
        <v>47</v>
      </c>
      <c r="D81" s="37" t="s">
        <v>48</v>
      </c>
      <c r="E81" s="37" t="s">
        <v>49</v>
      </c>
      <c r="F81" s="39" t="s">
        <v>50</v>
      </c>
      <c r="G81" s="36"/>
    </row>
    <row r="82" spans="1:7">
      <c r="A82" s="37"/>
      <c r="B82" s="38"/>
      <c r="C82" s="37"/>
      <c r="D82" s="37"/>
      <c r="E82" s="37" t="s">
        <v>51</v>
      </c>
      <c r="F82" s="39" t="s">
        <v>51</v>
      </c>
      <c r="G82" s="27"/>
    </row>
    <row r="83" spans="1:7">
      <c r="A83" s="37"/>
      <c r="B83" s="85" t="s">
        <v>53</v>
      </c>
      <c r="C83" s="86"/>
      <c r="D83" s="86"/>
      <c r="E83" s="86"/>
      <c r="F83" s="87">
        <f>F85+F95+F112+F118+F144+F149+F152+F166+F172+F175</f>
        <v>0</v>
      </c>
      <c r="G83" s="27"/>
    </row>
    <row r="84" spans="1:7">
      <c r="A84" s="37"/>
      <c r="B84" s="40"/>
      <c r="C84" s="37"/>
      <c r="D84" s="37"/>
      <c r="E84" s="37"/>
      <c r="F84" s="39"/>
      <c r="G84" s="27"/>
    </row>
    <row r="85" spans="1:7">
      <c r="A85" s="100"/>
      <c r="B85" s="101" t="s">
        <v>88</v>
      </c>
      <c r="C85" s="102"/>
      <c r="D85" s="102"/>
      <c r="E85" s="102"/>
      <c r="F85" s="103">
        <f>SUM(F86:F93)</f>
        <v>0</v>
      </c>
      <c r="G85" s="27"/>
    </row>
    <row r="86" spans="1:7">
      <c r="A86" s="104" t="s">
        <v>127</v>
      </c>
      <c r="B86" s="105" t="s">
        <v>38</v>
      </c>
      <c r="C86" s="106" t="s">
        <v>7</v>
      </c>
      <c r="D86" s="107">
        <v>35</v>
      </c>
      <c r="E86" s="107"/>
      <c r="F86" s="108">
        <f t="shared" ref="F86:F93" si="0">ROUND(E86*D86,2)</f>
        <v>0</v>
      </c>
      <c r="G86" s="27"/>
    </row>
    <row r="87" spans="1:7">
      <c r="A87" s="104" t="s">
        <v>128</v>
      </c>
      <c r="B87" s="105" t="s">
        <v>8</v>
      </c>
      <c r="C87" s="109" t="s">
        <v>7</v>
      </c>
      <c r="D87" s="110">
        <v>50</v>
      </c>
      <c r="E87" s="110"/>
      <c r="F87" s="111">
        <f t="shared" si="0"/>
        <v>0</v>
      </c>
      <c r="G87" s="27"/>
    </row>
    <row r="88" spans="1:7">
      <c r="A88" s="104" t="s">
        <v>129</v>
      </c>
      <c r="B88" s="105" t="s">
        <v>39</v>
      </c>
      <c r="C88" s="109" t="s">
        <v>40</v>
      </c>
      <c r="D88" s="112">
        <v>20</v>
      </c>
      <c r="E88" s="110"/>
      <c r="F88" s="111">
        <f t="shared" si="0"/>
        <v>0</v>
      </c>
      <c r="G88" s="27"/>
    </row>
    <row r="89" spans="1:7">
      <c r="A89" s="104" t="s">
        <v>130</v>
      </c>
      <c r="B89" s="105" t="s">
        <v>84</v>
      </c>
      <c r="C89" s="109" t="s">
        <v>7</v>
      </c>
      <c r="D89" s="110">
        <v>85</v>
      </c>
      <c r="E89" s="110"/>
      <c r="F89" s="111">
        <f t="shared" si="0"/>
        <v>0</v>
      </c>
      <c r="G89" s="27"/>
    </row>
    <row r="90" spans="1:7">
      <c r="A90" s="104" t="s">
        <v>131</v>
      </c>
      <c r="B90" s="105" t="s">
        <v>86</v>
      </c>
      <c r="C90" s="109" t="s">
        <v>7</v>
      </c>
      <c r="D90" s="110">
        <v>25</v>
      </c>
      <c r="E90" s="110"/>
      <c r="F90" s="111">
        <f t="shared" si="0"/>
        <v>0</v>
      </c>
      <c r="G90" s="27"/>
    </row>
    <row r="91" spans="1:7">
      <c r="A91" s="104" t="s">
        <v>124</v>
      </c>
      <c r="B91" s="105" t="s">
        <v>85</v>
      </c>
      <c r="C91" s="109" t="s">
        <v>7</v>
      </c>
      <c r="D91" s="110">
        <v>70</v>
      </c>
      <c r="E91" s="110"/>
      <c r="F91" s="111">
        <f t="shared" si="0"/>
        <v>0</v>
      </c>
      <c r="G91" s="27"/>
    </row>
    <row r="92" spans="1:7">
      <c r="A92" s="104" t="s">
        <v>132</v>
      </c>
      <c r="B92" s="105" t="s">
        <v>89</v>
      </c>
      <c r="C92" s="109" t="s">
        <v>7</v>
      </c>
      <c r="D92" s="110">
        <v>70</v>
      </c>
      <c r="E92" s="110"/>
      <c r="F92" s="111">
        <f t="shared" si="0"/>
        <v>0</v>
      </c>
      <c r="G92" s="27"/>
    </row>
    <row r="93" spans="1:7">
      <c r="A93" s="104" t="s">
        <v>133</v>
      </c>
      <c r="B93" s="105" t="s">
        <v>9</v>
      </c>
      <c r="C93" s="113" t="s">
        <v>10</v>
      </c>
      <c r="D93" s="114">
        <v>1.6659999999999999</v>
      </c>
      <c r="E93" s="110"/>
      <c r="F93" s="111">
        <f t="shared" si="0"/>
        <v>0</v>
      </c>
      <c r="G93" s="27"/>
    </row>
    <row r="94" spans="1:7">
      <c r="A94" s="115"/>
      <c r="B94" s="116"/>
      <c r="C94" s="113"/>
      <c r="D94" s="114"/>
      <c r="E94" s="117"/>
      <c r="F94" s="118"/>
      <c r="G94" s="27"/>
    </row>
    <row r="95" spans="1:7">
      <c r="A95" s="119"/>
      <c r="B95" s="101" t="s">
        <v>0</v>
      </c>
      <c r="C95" s="101"/>
      <c r="D95" s="120"/>
      <c r="E95" s="121"/>
      <c r="F95" s="122">
        <f>SUM(F96:F108)</f>
        <v>0</v>
      </c>
      <c r="G95" s="28"/>
    </row>
    <row r="96" spans="1:7">
      <c r="A96" s="123" t="s">
        <v>134</v>
      </c>
      <c r="B96" s="105" t="s">
        <v>11</v>
      </c>
      <c r="C96" s="109" t="s">
        <v>14</v>
      </c>
      <c r="D96" s="110">
        <v>2</v>
      </c>
      <c r="E96" s="110"/>
      <c r="F96" s="111">
        <f t="shared" ref="F96:F110" si="1">ROUND(E96*D96,2)</f>
        <v>0</v>
      </c>
      <c r="G96" s="26"/>
    </row>
    <row r="97" spans="1:7">
      <c r="A97" s="123" t="s">
        <v>135</v>
      </c>
      <c r="B97" s="105" t="s">
        <v>60</v>
      </c>
      <c r="C97" s="109" t="s">
        <v>14</v>
      </c>
      <c r="D97" s="110">
        <v>1</v>
      </c>
      <c r="E97" s="110"/>
      <c r="F97" s="111">
        <f t="shared" si="1"/>
        <v>0</v>
      </c>
      <c r="G97" s="26"/>
    </row>
    <row r="98" spans="1:7">
      <c r="A98" s="123" t="s">
        <v>136</v>
      </c>
      <c r="B98" s="105" t="s">
        <v>61</v>
      </c>
      <c r="C98" s="109" t="s">
        <v>14</v>
      </c>
      <c r="D98" s="110">
        <v>1</v>
      </c>
      <c r="E98" s="110"/>
      <c r="F98" s="111">
        <f t="shared" si="1"/>
        <v>0</v>
      </c>
      <c r="G98" s="26"/>
    </row>
    <row r="99" spans="1:7">
      <c r="A99" s="123" t="s">
        <v>137</v>
      </c>
      <c r="B99" s="105" t="s">
        <v>81</v>
      </c>
      <c r="C99" s="109" t="s">
        <v>14</v>
      </c>
      <c r="D99" s="110">
        <v>6</v>
      </c>
      <c r="E99" s="110"/>
      <c r="F99" s="111">
        <f t="shared" si="1"/>
        <v>0</v>
      </c>
      <c r="G99" s="26"/>
    </row>
    <row r="100" spans="1:7" ht="11.25" customHeight="1">
      <c r="A100" s="123" t="s">
        <v>138</v>
      </c>
      <c r="B100" s="105" t="s">
        <v>70</v>
      </c>
      <c r="C100" s="109" t="s">
        <v>14</v>
      </c>
      <c r="D100" s="110">
        <v>1</v>
      </c>
      <c r="E100" s="110"/>
      <c r="F100" s="111">
        <f t="shared" si="1"/>
        <v>0</v>
      </c>
      <c r="G100" s="26"/>
    </row>
    <row r="101" spans="1:7" ht="11.25" customHeight="1">
      <c r="A101" s="123" t="s">
        <v>139</v>
      </c>
      <c r="B101" s="105" t="s">
        <v>71</v>
      </c>
      <c r="C101" s="109" t="s">
        <v>14</v>
      </c>
      <c r="D101" s="110">
        <v>1</v>
      </c>
      <c r="E101" s="110"/>
      <c r="F101" s="111">
        <f t="shared" si="1"/>
        <v>0</v>
      </c>
      <c r="G101" s="26"/>
    </row>
    <row r="102" spans="1:7">
      <c r="A102" s="123" t="s">
        <v>140</v>
      </c>
      <c r="B102" s="105" t="s">
        <v>73</v>
      </c>
      <c r="C102" s="109" t="s">
        <v>14</v>
      </c>
      <c r="D102" s="110">
        <v>3</v>
      </c>
      <c r="E102" s="110"/>
      <c r="F102" s="111">
        <f t="shared" si="1"/>
        <v>0</v>
      </c>
      <c r="G102" s="26"/>
    </row>
    <row r="103" spans="1:7">
      <c r="A103" s="123" t="s">
        <v>141</v>
      </c>
      <c r="B103" s="105" t="s">
        <v>58</v>
      </c>
      <c r="C103" s="109"/>
      <c r="D103" s="110">
        <v>1</v>
      </c>
      <c r="E103" s="110"/>
      <c r="F103" s="111">
        <f t="shared" si="1"/>
        <v>0</v>
      </c>
      <c r="G103" s="26"/>
    </row>
    <row r="104" spans="1:7">
      <c r="A104" s="123" t="s">
        <v>142</v>
      </c>
      <c r="B104" s="105" t="s">
        <v>59</v>
      </c>
      <c r="C104" s="109" t="s">
        <v>14</v>
      </c>
      <c r="D104" s="110">
        <v>2</v>
      </c>
      <c r="E104" s="110"/>
      <c r="F104" s="111">
        <f t="shared" si="1"/>
        <v>0</v>
      </c>
      <c r="G104" s="26"/>
    </row>
    <row r="105" spans="1:7">
      <c r="A105" s="123" t="s">
        <v>143</v>
      </c>
      <c r="B105" s="105" t="s">
        <v>33</v>
      </c>
      <c r="C105" s="109" t="s">
        <v>14</v>
      </c>
      <c r="D105" s="110">
        <v>2</v>
      </c>
      <c r="E105" s="110"/>
      <c r="F105" s="111">
        <f t="shared" si="1"/>
        <v>0</v>
      </c>
      <c r="G105" s="26"/>
    </row>
    <row r="106" spans="1:7" ht="15" customHeight="1">
      <c r="A106" s="123" t="s">
        <v>144</v>
      </c>
      <c r="B106" s="105" t="s">
        <v>34</v>
      </c>
      <c r="C106" s="109" t="s">
        <v>14</v>
      </c>
      <c r="D106" s="110">
        <v>4</v>
      </c>
      <c r="E106" s="110"/>
      <c r="F106" s="111">
        <f t="shared" si="1"/>
        <v>0</v>
      </c>
      <c r="G106" s="26"/>
    </row>
    <row r="107" spans="1:7" ht="15" customHeight="1">
      <c r="A107" s="123" t="s">
        <v>145</v>
      </c>
      <c r="B107" s="116" t="s">
        <v>62</v>
      </c>
      <c r="C107" s="113" t="s">
        <v>14</v>
      </c>
      <c r="D107" s="117">
        <v>1</v>
      </c>
      <c r="E107" s="117"/>
      <c r="F107" s="111">
        <f t="shared" si="1"/>
        <v>0</v>
      </c>
      <c r="G107" s="26"/>
    </row>
    <row r="108" spans="1:7" ht="15" customHeight="1">
      <c r="A108" s="123" t="s">
        <v>146</v>
      </c>
      <c r="B108" s="105" t="s">
        <v>63</v>
      </c>
      <c r="C108" s="109" t="s">
        <v>64</v>
      </c>
      <c r="D108" s="110">
        <v>1</v>
      </c>
      <c r="E108" s="110"/>
      <c r="F108" s="111">
        <f t="shared" si="1"/>
        <v>0</v>
      </c>
      <c r="G108" s="26"/>
    </row>
    <row r="109" spans="1:7" ht="15" customHeight="1">
      <c r="A109" s="124" t="s">
        <v>147</v>
      </c>
      <c r="B109" s="105" t="s">
        <v>90</v>
      </c>
      <c r="C109" s="109" t="s">
        <v>10</v>
      </c>
      <c r="D109" s="125">
        <v>4</v>
      </c>
      <c r="E109" s="110"/>
      <c r="F109" s="111">
        <f t="shared" si="1"/>
        <v>0</v>
      </c>
      <c r="G109" s="26"/>
    </row>
    <row r="110" spans="1:7" ht="15" customHeight="1">
      <c r="A110" s="123" t="s">
        <v>148</v>
      </c>
      <c r="B110" s="105" t="s">
        <v>125</v>
      </c>
      <c r="C110" s="126" t="s">
        <v>126</v>
      </c>
      <c r="D110" s="127">
        <v>2</v>
      </c>
      <c r="E110" s="128"/>
      <c r="F110" s="111">
        <f t="shared" si="1"/>
        <v>0</v>
      </c>
      <c r="G110" s="26"/>
    </row>
    <row r="111" spans="1:7" ht="15" customHeight="1">
      <c r="A111" s="129"/>
      <c r="B111" s="130"/>
      <c r="C111" s="131"/>
      <c r="D111" s="132"/>
      <c r="E111" s="107"/>
      <c r="F111" s="133"/>
      <c r="G111" s="26"/>
    </row>
    <row r="112" spans="1:7">
      <c r="A112" s="134"/>
      <c r="B112" s="101" t="s">
        <v>87</v>
      </c>
      <c r="C112" s="135"/>
      <c r="D112" s="136"/>
      <c r="E112" s="137"/>
      <c r="F112" s="122">
        <f>SUM(F113:F116)</f>
        <v>0</v>
      </c>
      <c r="G112" s="28"/>
    </row>
    <row r="113" spans="1:7">
      <c r="A113" s="123" t="s">
        <v>149</v>
      </c>
      <c r="B113" s="105" t="s">
        <v>65</v>
      </c>
      <c r="C113" s="109" t="s">
        <v>7</v>
      </c>
      <c r="D113" s="110">
        <v>15</v>
      </c>
      <c r="E113" s="110"/>
      <c r="F113" s="111">
        <f t="shared" ref="F113:F116" si="2">ROUND(E113*D113,2)</f>
        <v>0</v>
      </c>
      <c r="G113" s="26"/>
    </row>
    <row r="114" spans="1:7">
      <c r="A114" s="123" t="s">
        <v>150</v>
      </c>
      <c r="B114" s="105" t="s">
        <v>13</v>
      </c>
      <c r="C114" s="109" t="s">
        <v>7</v>
      </c>
      <c r="D114" s="110">
        <v>35</v>
      </c>
      <c r="E114" s="110"/>
      <c r="F114" s="111">
        <f t="shared" si="2"/>
        <v>0</v>
      </c>
      <c r="G114" s="26"/>
    </row>
    <row r="115" spans="1:7">
      <c r="A115" s="123" t="s">
        <v>151</v>
      </c>
      <c r="B115" s="105" t="s">
        <v>35</v>
      </c>
      <c r="C115" s="109" t="s">
        <v>7</v>
      </c>
      <c r="D115" s="110">
        <v>22</v>
      </c>
      <c r="E115" s="110"/>
      <c r="F115" s="111">
        <f t="shared" si="2"/>
        <v>0</v>
      </c>
      <c r="G115" s="26"/>
    </row>
    <row r="116" spans="1:7">
      <c r="A116" s="123" t="s">
        <v>152</v>
      </c>
      <c r="B116" s="105" t="s">
        <v>36</v>
      </c>
      <c r="C116" s="109" t="s">
        <v>7</v>
      </c>
      <c r="D116" s="110">
        <v>72</v>
      </c>
      <c r="E116" s="110"/>
      <c r="F116" s="111">
        <f t="shared" si="2"/>
        <v>0</v>
      </c>
      <c r="G116" s="26"/>
    </row>
    <row r="117" spans="1:7">
      <c r="A117" s="138"/>
      <c r="B117" s="132"/>
      <c r="C117" s="113"/>
      <c r="D117" s="117"/>
      <c r="E117" s="117"/>
      <c r="F117" s="118"/>
      <c r="G117" s="26"/>
    </row>
    <row r="118" spans="1:7">
      <c r="A118" s="139"/>
      <c r="B118" s="140" t="s">
        <v>1</v>
      </c>
      <c r="C118" s="140"/>
      <c r="D118" s="86"/>
      <c r="E118" s="87"/>
      <c r="F118" s="122">
        <f>SUM(F119:F142)</f>
        <v>0</v>
      </c>
      <c r="G118" s="28"/>
    </row>
    <row r="119" spans="1:7">
      <c r="A119" s="123" t="s">
        <v>153</v>
      </c>
      <c r="B119" s="105" t="s">
        <v>15</v>
      </c>
      <c r="C119" s="109" t="s">
        <v>12</v>
      </c>
      <c r="D119" s="110">
        <v>2</v>
      </c>
      <c r="E119" s="110"/>
      <c r="F119" s="111">
        <f t="shared" ref="F119:F142" si="3">ROUND(E119*D119,2)</f>
        <v>0</v>
      </c>
      <c r="G119" s="26"/>
    </row>
    <row r="120" spans="1:7">
      <c r="A120" s="123" t="s">
        <v>154</v>
      </c>
      <c r="B120" s="105" t="s">
        <v>37</v>
      </c>
      <c r="C120" s="109" t="s">
        <v>12</v>
      </c>
      <c r="D120" s="110">
        <v>3</v>
      </c>
      <c r="E120" s="110"/>
      <c r="F120" s="111">
        <f t="shared" si="3"/>
        <v>0</v>
      </c>
      <c r="G120" s="26"/>
    </row>
    <row r="121" spans="1:7">
      <c r="A121" s="123" t="s">
        <v>155</v>
      </c>
      <c r="B121" s="105" t="s">
        <v>16</v>
      </c>
      <c r="C121" s="109" t="s">
        <v>14</v>
      </c>
      <c r="D121" s="110">
        <v>5</v>
      </c>
      <c r="E121" s="110"/>
      <c r="F121" s="111">
        <f t="shared" si="3"/>
        <v>0</v>
      </c>
      <c r="G121" s="26"/>
    </row>
    <row r="122" spans="1:7">
      <c r="A122" s="123" t="s">
        <v>156</v>
      </c>
      <c r="B122" s="105" t="s">
        <v>75</v>
      </c>
      <c r="C122" s="109" t="s">
        <v>14</v>
      </c>
      <c r="D122" s="110">
        <v>1</v>
      </c>
      <c r="E122" s="110"/>
      <c r="F122" s="111">
        <f t="shared" si="3"/>
        <v>0</v>
      </c>
      <c r="G122" s="26"/>
    </row>
    <row r="123" spans="1:7">
      <c r="A123" s="123" t="s">
        <v>157</v>
      </c>
      <c r="B123" s="105" t="s">
        <v>186</v>
      </c>
      <c r="C123" s="109" t="s">
        <v>14</v>
      </c>
      <c r="D123" s="110">
        <v>3</v>
      </c>
      <c r="E123" s="110"/>
      <c r="F123" s="111">
        <f t="shared" si="3"/>
        <v>0</v>
      </c>
      <c r="G123" s="26"/>
    </row>
    <row r="124" spans="1:7">
      <c r="A124" s="123" t="s">
        <v>158</v>
      </c>
      <c r="B124" s="105" t="s">
        <v>77</v>
      </c>
      <c r="C124" s="109" t="s">
        <v>14</v>
      </c>
      <c r="D124" s="110">
        <v>1</v>
      </c>
      <c r="E124" s="110"/>
      <c r="F124" s="111">
        <f t="shared" si="3"/>
        <v>0</v>
      </c>
      <c r="G124" s="26"/>
    </row>
    <row r="125" spans="1:7">
      <c r="A125" s="123" t="s">
        <v>159</v>
      </c>
      <c r="B125" s="105" t="s">
        <v>76</v>
      </c>
      <c r="C125" s="109" t="s">
        <v>14</v>
      </c>
      <c r="D125" s="110">
        <v>1</v>
      </c>
      <c r="E125" s="110"/>
      <c r="F125" s="111">
        <f t="shared" si="3"/>
        <v>0</v>
      </c>
      <c r="G125" s="26"/>
    </row>
    <row r="126" spans="1:7">
      <c r="A126" s="123" t="s">
        <v>160</v>
      </c>
      <c r="B126" s="105" t="s">
        <v>17</v>
      </c>
      <c r="C126" s="109" t="s">
        <v>14</v>
      </c>
      <c r="D126" s="110">
        <v>7</v>
      </c>
      <c r="E126" s="110"/>
      <c r="F126" s="111">
        <f t="shared" si="3"/>
        <v>0</v>
      </c>
      <c r="G126" s="26"/>
    </row>
    <row r="127" spans="1:7">
      <c r="A127" s="123" t="s">
        <v>160</v>
      </c>
      <c r="B127" s="105" t="s">
        <v>18</v>
      </c>
      <c r="C127" s="109" t="s">
        <v>14</v>
      </c>
      <c r="D127" s="110">
        <v>4</v>
      </c>
      <c r="E127" s="110"/>
      <c r="F127" s="111">
        <f t="shared" si="3"/>
        <v>0</v>
      </c>
      <c r="G127" s="26"/>
    </row>
    <row r="128" spans="1:7">
      <c r="A128" s="123" t="s">
        <v>161</v>
      </c>
      <c r="B128" s="105" t="s">
        <v>19</v>
      </c>
      <c r="C128" s="109" t="s">
        <v>14</v>
      </c>
      <c r="D128" s="110">
        <v>2</v>
      </c>
      <c r="E128" s="110"/>
      <c r="F128" s="111">
        <f t="shared" si="3"/>
        <v>0</v>
      </c>
      <c r="G128" s="26"/>
    </row>
    <row r="129" spans="1:7">
      <c r="A129" s="123" t="s">
        <v>162</v>
      </c>
      <c r="B129" s="105" t="s">
        <v>20</v>
      </c>
      <c r="C129" s="109" t="s">
        <v>14</v>
      </c>
      <c r="D129" s="110">
        <v>8</v>
      </c>
      <c r="E129" s="110"/>
      <c r="F129" s="111">
        <f t="shared" si="3"/>
        <v>0</v>
      </c>
      <c r="G129" s="26"/>
    </row>
    <row r="130" spans="1:7">
      <c r="A130" s="123" t="s">
        <v>163</v>
      </c>
      <c r="B130" s="105" t="s">
        <v>74</v>
      </c>
      <c r="C130" s="109" t="s">
        <v>14</v>
      </c>
      <c r="D130" s="110">
        <v>1</v>
      </c>
      <c r="E130" s="110"/>
      <c r="F130" s="111">
        <f t="shared" si="3"/>
        <v>0</v>
      </c>
      <c r="G130" s="26"/>
    </row>
    <row r="131" spans="1:7">
      <c r="A131" s="123" t="s">
        <v>164</v>
      </c>
      <c r="B131" s="105" t="s">
        <v>66</v>
      </c>
      <c r="C131" s="109" t="s">
        <v>14</v>
      </c>
      <c r="D131" s="110">
        <v>1</v>
      </c>
      <c r="E131" s="110"/>
      <c r="F131" s="111">
        <f t="shared" ref="F131" si="4">ROUND(E131*D131,2)</f>
        <v>0</v>
      </c>
      <c r="G131" s="26"/>
    </row>
    <row r="132" spans="1:7">
      <c r="A132" s="123" t="s">
        <v>165</v>
      </c>
      <c r="B132" s="105" t="s">
        <v>67</v>
      </c>
      <c r="C132" s="109" t="s">
        <v>14</v>
      </c>
      <c r="D132" s="110">
        <v>4</v>
      </c>
      <c r="E132" s="110"/>
      <c r="F132" s="111">
        <f t="shared" ref="F132" si="5">ROUND(E132*D132,2)</f>
        <v>0</v>
      </c>
      <c r="G132" s="26"/>
    </row>
    <row r="133" spans="1:7">
      <c r="A133" s="123" t="s">
        <v>166</v>
      </c>
      <c r="B133" s="105" t="s">
        <v>68</v>
      </c>
      <c r="C133" s="109" t="s">
        <v>14</v>
      </c>
      <c r="D133" s="110">
        <v>6</v>
      </c>
      <c r="E133" s="110"/>
      <c r="F133" s="111">
        <f t="shared" ref="F133" si="6">ROUND(E133*D133,2)</f>
        <v>0</v>
      </c>
      <c r="G133" s="26"/>
    </row>
    <row r="134" spans="1:7">
      <c r="A134" s="123" t="s">
        <v>167</v>
      </c>
      <c r="B134" s="105" t="s">
        <v>78</v>
      </c>
      <c r="C134" s="109" t="s">
        <v>14</v>
      </c>
      <c r="D134" s="110">
        <v>14</v>
      </c>
      <c r="E134" s="110"/>
      <c r="F134" s="111">
        <f t="shared" ref="F134:F135" si="7">ROUND(E134*D134,2)</f>
        <v>0</v>
      </c>
      <c r="G134" s="26"/>
    </row>
    <row r="135" spans="1:7">
      <c r="A135" s="123" t="s">
        <v>168</v>
      </c>
      <c r="B135" s="105" t="s">
        <v>69</v>
      </c>
      <c r="C135" s="109" t="s">
        <v>14</v>
      </c>
      <c r="D135" s="110">
        <v>1</v>
      </c>
      <c r="E135" s="110"/>
      <c r="F135" s="111">
        <f t="shared" si="7"/>
        <v>0</v>
      </c>
      <c r="G135" s="26"/>
    </row>
    <row r="136" spans="1:7">
      <c r="A136" s="123" t="s">
        <v>169</v>
      </c>
      <c r="B136" s="105" t="s">
        <v>57</v>
      </c>
      <c r="C136" s="109" t="s">
        <v>14</v>
      </c>
      <c r="D136" s="110">
        <v>18</v>
      </c>
      <c r="E136" s="110"/>
      <c r="F136" s="111">
        <f t="shared" si="3"/>
        <v>0</v>
      </c>
      <c r="G136" s="26"/>
    </row>
    <row r="137" spans="1:7">
      <c r="A137" s="123" t="s">
        <v>170</v>
      </c>
      <c r="B137" s="105" t="s">
        <v>21</v>
      </c>
      <c r="C137" s="109" t="s">
        <v>14</v>
      </c>
      <c r="D137" s="110">
        <v>9</v>
      </c>
      <c r="E137" s="110"/>
      <c r="F137" s="111">
        <f t="shared" si="3"/>
        <v>0</v>
      </c>
      <c r="G137" s="26"/>
    </row>
    <row r="138" spans="1:7">
      <c r="A138" s="123" t="s">
        <v>171</v>
      </c>
      <c r="B138" s="105" t="s">
        <v>79</v>
      </c>
      <c r="C138" s="109" t="s">
        <v>14</v>
      </c>
      <c r="D138" s="110">
        <v>9</v>
      </c>
      <c r="E138" s="110"/>
      <c r="F138" s="111">
        <f t="shared" si="3"/>
        <v>0</v>
      </c>
      <c r="G138" s="26"/>
    </row>
    <row r="139" spans="1:7">
      <c r="A139" s="123" t="s">
        <v>172</v>
      </c>
      <c r="B139" s="105" t="s">
        <v>80</v>
      </c>
      <c r="C139" s="109" t="s">
        <v>14</v>
      </c>
      <c r="D139" s="110">
        <v>37</v>
      </c>
      <c r="E139" s="110"/>
      <c r="F139" s="111">
        <f t="shared" si="3"/>
        <v>0</v>
      </c>
      <c r="G139" s="26"/>
    </row>
    <row r="140" spans="1:7" ht="12" customHeight="1">
      <c r="A140" s="123" t="s">
        <v>173</v>
      </c>
      <c r="B140" s="105" t="s">
        <v>22</v>
      </c>
      <c r="C140" s="109" t="s">
        <v>14</v>
      </c>
      <c r="D140" s="110">
        <v>4</v>
      </c>
      <c r="E140" s="110"/>
      <c r="F140" s="111">
        <f t="shared" si="3"/>
        <v>0</v>
      </c>
      <c r="G140" s="26"/>
    </row>
    <row r="141" spans="1:7" ht="12" customHeight="1">
      <c r="A141" s="123" t="s">
        <v>174</v>
      </c>
      <c r="B141" s="105" t="s">
        <v>82</v>
      </c>
      <c r="C141" s="109" t="s">
        <v>7</v>
      </c>
      <c r="D141" s="110">
        <v>4</v>
      </c>
      <c r="E141" s="110"/>
      <c r="F141" s="111">
        <f t="shared" si="3"/>
        <v>0</v>
      </c>
      <c r="G141" s="26"/>
    </row>
    <row r="142" spans="1:7">
      <c r="A142" s="230"/>
      <c r="B142" s="105" t="s">
        <v>83</v>
      </c>
      <c r="C142" s="109" t="s">
        <v>64</v>
      </c>
      <c r="D142" s="110">
        <v>1</v>
      </c>
      <c r="E142" s="110"/>
      <c r="F142" s="111">
        <f t="shared" si="3"/>
        <v>0</v>
      </c>
      <c r="G142" s="26"/>
    </row>
    <row r="143" spans="1:7">
      <c r="A143" s="132"/>
      <c r="B143" s="130"/>
      <c r="C143" s="131"/>
      <c r="D143" s="107"/>
      <c r="E143" s="107"/>
      <c r="F143" s="133"/>
      <c r="G143" s="26"/>
    </row>
    <row r="144" spans="1:7">
      <c r="A144" s="139"/>
      <c r="B144" s="140" t="s">
        <v>1324</v>
      </c>
      <c r="C144" s="140"/>
      <c r="D144" s="86"/>
      <c r="E144" s="87"/>
      <c r="F144" s="122">
        <f>+F145</f>
        <v>0</v>
      </c>
      <c r="G144" s="28"/>
    </row>
    <row r="145" spans="1:7">
      <c r="A145" s="123"/>
      <c r="B145" s="105" t="s">
        <v>1325</v>
      </c>
      <c r="C145" s="109" t="s">
        <v>12</v>
      </c>
      <c r="D145" s="110">
        <v>1</v>
      </c>
      <c r="E145" s="110"/>
      <c r="F145" s="111">
        <f t="shared" ref="F145" si="8">ROUND(E145*D145,2)</f>
        <v>0</v>
      </c>
      <c r="G145" s="26"/>
    </row>
    <row r="146" spans="1:7" ht="13.5">
      <c r="A146" s="123"/>
      <c r="B146" s="397" t="s">
        <v>297</v>
      </c>
      <c r="C146" s="109"/>
      <c r="D146" s="110"/>
      <c r="E146" s="110"/>
      <c r="F146" s="111"/>
      <c r="G146" s="26"/>
    </row>
    <row r="147" spans="1:7" ht="13.5">
      <c r="A147" s="123"/>
      <c r="B147" s="398" t="s">
        <v>298</v>
      </c>
      <c r="C147" s="109"/>
      <c r="D147" s="110"/>
      <c r="E147" s="110"/>
      <c r="F147" s="111"/>
      <c r="G147" s="26"/>
    </row>
    <row r="148" spans="1:7" ht="13.5">
      <c r="A148" s="138"/>
      <c r="B148" s="395"/>
      <c r="C148" s="113"/>
      <c r="D148" s="117"/>
      <c r="E148" s="117"/>
      <c r="F148" s="118"/>
      <c r="G148" s="26"/>
    </row>
    <row r="149" spans="1:7">
      <c r="A149" s="104"/>
      <c r="B149" s="101" t="s">
        <v>2</v>
      </c>
      <c r="C149" s="101"/>
      <c r="D149" s="120"/>
      <c r="E149" s="121"/>
      <c r="F149" s="396">
        <f>SUM(F150)</f>
        <v>0</v>
      </c>
      <c r="G149" s="26"/>
    </row>
    <row r="150" spans="1:7">
      <c r="A150" s="123" t="s">
        <v>175</v>
      </c>
      <c r="B150" s="105" t="s">
        <v>123</v>
      </c>
      <c r="C150" s="109" t="s">
        <v>23</v>
      </c>
      <c r="D150" s="110">
        <v>50</v>
      </c>
      <c r="E150" s="110"/>
      <c r="F150" s="111">
        <f t="shared" ref="F150" si="9">ROUND(E150*D150,2)</f>
        <v>0</v>
      </c>
      <c r="G150" s="26"/>
    </row>
    <row r="151" spans="1:7">
      <c r="A151" s="138"/>
      <c r="B151" s="132"/>
      <c r="C151" s="131"/>
      <c r="D151" s="107"/>
      <c r="E151" s="107"/>
      <c r="F151" s="133"/>
      <c r="G151" s="28"/>
    </row>
    <row r="152" spans="1:7">
      <c r="A152" s="104"/>
      <c r="B152" s="141" t="s">
        <v>3</v>
      </c>
      <c r="C152" s="141"/>
      <c r="D152" s="142"/>
      <c r="E152" s="142"/>
      <c r="F152" s="122">
        <f>SUM(F153:F154)</f>
        <v>0</v>
      </c>
      <c r="G152" s="26"/>
    </row>
    <row r="153" spans="1:7">
      <c r="A153" s="123" t="s">
        <v>176</v>
      </c>
      <c r="B153" s="105" t="s">
        <v>24</v>
      </c>
      <c r="C153" s="109" t="s">
        <v>7</v>
      </c>
      <c r="D153" s="110">
        <v>59</v>
      </c>
      <c r="E153" s="110"/>
      <c r="F153" s="111">
        <f t="shared" ref="F153:F154" si="10">ROUND(E153*D153,2)</f>
        <v>0</v>
      </c>
      <c r="G153" s="26"/>
    </row>
    <row r="154" spans="1:7">
      <c r="A154" s="123" t="s">
        <v>177</v>
      </c>
      <c r="B154" s="105" t="s">
        <v>25</v>
      </c>
      <c r="C154" s="109" t="s">
        <v>7</v>
      </c>
      <c r="D154" s="110">
        <v>59</v>
      </c>
      <c r="E154" s="110"/>
      <c r="F154" s="111">
        <f t="shared" si="10"/>
        <v>0</v>
      </c>
      <c r="G154" s="26"/>
    </row>
    <row r="155" spans="1:7">
      <c r="A155" s="123" t="s">
        <v>178</v>
      </c>
      <c r="B155" s="105" t="s">
        <v>26</v>
      </c>
      <c r="C155" s="109" t="s">
        <v>7</v>
      </c>
      <c r="D155" s="110">
        <v>59</v>
      </c>
      <c r="E155" s="110"/>
      <c r="F155" s="111">
        <f t="shared" ref="F155" si="11">ROUND(E155*D155,2)</f>
        <v>0</v>
      </c>
      <c r="G155" s="26"/>
    </row>
    <row r="156" spans="1:7">
      <c r="A156" s="139"/>
      <c r="B156" s="132"/>
      <c r="C156" s="131"/>
      <c r="D156" s="107"/>
      <c r="E156" s="107"/>
      <c r="F156" s="133"/>
      <c r="G156" s="26"/>
    </row>
    <row r="157" spans="1:7">
      <c r="A157" s="152"/>
      <c r="B157" s="132"/>
      <c r="C157" s="131"/>
      <c r="D157" s="107"/>
      <c r="E157" s="107"/>
      <c r="F157" s="133"/>
      <c r="G157" s="26"/>
    </row>
    <row r="158" spans="1:7">
      <c r="A158" s="132"/>
      <c r="B158" s="130"/>
      <c r="C158" s="131"/>
      <c r="D158" s="107"/>
      <c r="E158" s="107"/>
      <c r="F158" s="133"/>
      <c r="G158" s="26"/>
    </row>
    <row r="159" spans="1:7">
      <c r="A159" s="143"/>
      <c r="B159" s="158" t="str">
        <f>B77</f>
        <v>Nová přípojka termální vody pro AQUACENTRUM Teplice</v>
      </c>
      <c r="C159" s="159"/>
      <c r="D159" s="92"/>
      <c r="E159" s="411" t="s">
        <v>41</v>
      </c>
      <c r="F159" s="411"/>
      <c r="G159" s="26"/>
    </row>
    <row r="160" spans="1:7">
      <c r="A160" s="97"/>
      <c r="B160" s="132" t="str">
        <f>B78</f>
        <v>Strojovna tepelných čerpadel</v>
      </c>
      <c r="C160" s="160"/>
      <c r="D160" s="94"/>
      <c r="E160" s="404" t="s">
        <v>42</v>
      </c>
      <c r="F160" s="404"/>
      <c r="G160" s="26"/>
    </row>
    <row r="161" spans="1:7">
      <c r="A161" s="95"/>
      <c r="B161" s="161" t="str">
        <f>B79</f>
        <v xml:space="preserve"> 11/2022</v>
      </c>
      <c r="C161" s="162"/>
      <c r="D161" s="96"/>
      <c r="E161" s="163"/>
      <c r="F161" s="162" t="s">
        <v>43</v>
      </c>
      <c r="G161" s="26"/>
    </row>
    <row r="162" spans="1:7">
      <c r="A162" s="37" t="s">
        <v>45</v>
      </c>
      <c r="B162" s="132"/>
      <c r="C162" s="98"/>
      <c r="D162" s="94"/>
      <c r="E162" s="99"/>
      <c r="F162" s="98"/>
      <c r="G162" s="26"/>
    </row>
    <row r="163" spans="1:7">
      <c r="A163" s="37"/>
      <c r="B163" s="93"/>
      <c r="C163" s="37" t="s">
        <v>47</v>
      </c>
      <c r="D163" s="37" t="s">
        <v>48</v>
      </c>
      <c r="E163" s="37" t="s">
        <v>49</v>
      </c>
      <c r="F163" s="39" t="s">
        <v>50</v>
      </c>
      <c r="G163" s="26"/>
    </row>
    <row r="164" spans="1:7">
      <c r="A164" s="37"/>
      <c r="B164" s="38" t="s">
        <v>46</v>
      </c>
      <c r="C164" s="37"/>
      <c r="D164" s="37"/>
      <c r="E164" s="37" t="s">
        <v>51</v>
      </c>
      <c r="F164" s="39" t="s">
        <v>51</v>
      </c>
      <c r="G164" s="26"/>
    </row>
    <row r="165" spans="1:7">
      <c r="A165" s="37"/>
      <c r="B165" s="38"/>
      <c r="C165" s="37"/>
      <c r="D165" s="37"/>
      <c r="E165" s="37"/>
      <c r="F165" s="39"/>
      <c r="G165" s="26"/>
    </row>
    <row r="166" spans="1:7">
      <c r="A166" s="123" t="s">
        <v>179</v>
      </c>
      <c r="B166" s="144" t="s">
        <v>4</v>
      </c>
      <c r="C166" s="144"/>
      <c r="D166" s="145"/>
      <c r="E166" s="145"/>
      <c r="F166" s="146">
        <f>SUM(F167:F172)</f>
        <v>0</v>
      </c>
      <c r="G166" s="26"/>
    </row>
    <row r="167" spans="1:7">
      <c r="A167" s="123" t="s">
        <v>180</v>
      </c>
      <c r="B167" s="105" t="s">
        <v>72</v>
      </c>
      <c r="C167" s="109" t="s">
        <v>28</v>
      </c>
      <c r="D167" s="110">
        <v>36</v>
      </c>
      <c r="E167" s="110"/>
      <c r="F167" s="111">
        <f>ROUND(E167*D167,2)</f>
        <v>0</v>
      </c>
      <c r="G167" s="26"/>
    </row>
    <row r="168" spans="1:7">
      <c r="A168" s="123" t="s">
        <v>181</v>
      </c>
      <c r="B168" s="105" t="s">
        <v>27</v>
      </c>
      <c r="C168" s="113" t="s">
        <v>28</v>
      </c>
      <c r="D168" s="117">
        <v>50</v>
      </c>
      <c r="E168" s="110"/>
      <c r="F168" s="111">
        <f>ROUND(E168*D168,2)</f>
        <v>0</v>
      </c>
      <c r="G168" s="26"/>
    </row>
    <row r="169" spans="1:7">
      <c r="A169" s="123" t="s">
        <v>182</v>
      </c>
      <c r="B169" s="105" t="s">
        <v>29</v>
      </c>
      <c r="C169" s="109" t="s">
        <v>28</v>
      </c>
      <c r="D169" s="110">
        <v>16</v>
      </c>
      <c r="E169" s="110"/>
      <c r="F169" s="111">
        <f>ROUND(E169*D169,2)</f>
        <v>0</v>
      </c>
      <c r="G169" s="26"/>
    </row>
    <row r="170" spans="1:7">
      <c r="A170" s="123" t="s">
        <v>183</v>
      </c>
      <c r="B170" s="105" t="s">
        <v>30</v>
      </c>
      <c r="C170" s="109" t="s">
        <v>28</v>
      </c>
      <c r="D170" s="110">
        <v>5</v>
      </c>
      <c r="E170" s="110"/>
      <c r="F170" s="111">
        <f>ROUND(E170*D170,2)</f>
        <v>0</v>
      </c>
      <c r="G170" s="26"/>
    </row>
    <row r="171" spans="1:7">
      <c r="A171" s="147"/>
      <c r="B171" s="40"/>
      <c r="C171" s="131"/>
      <c r="D171" s="107"/>
      <c r="E171" s="107"/>
      <c r="F171" s="133"/>
      <c r="G171" s="26"/>
    </row>
    <row r="172" spans="1:7">
      <c r="A172" s="129"/>
      <c r="B172" s="148" t="s">
        <v>5</v>
      </c>
      <c r="C172" s="149"/>
      <c r="D172" s="150"/>
      <c r="E172" s="150"/>
      <c r="F172" s="151">
        <f>E173</f>
        <v>0</v>
      </c>
      <c r="G172" s="26"/>
    </row>
    <row r="173" spans="1:7">
      <c r="A173" s="123" t="s">
        <v>184</v>
      </c>
      <c r="B173" s="105" t="s">
        <v>31</v>
      </c>
      <c r="C173" s="109" t="s">
        <v>28</v>
      </c>
      <c r="D173" s="110">
        <v>5</v>
      </c>
      <c r="E173" s="110"/>
      <c r="F173" s="111">
        <f>ROUND(E173*D173,2)</f>
        <v>0</v>
      </c>
      <c r="G173" s="26"/>
    </row>
    <row r="174" spans="1:7">
      <c r="A174" s="152"/>
      <c r="B174" s="132"/>
      <c r="C174" s="113"/>
      <c r="D174" s="117"/>
      <c r="E174" s="117"/>
      <c r="F174" s="118"/>
      <c r="G174" s="30"/>
    </row>
    <row r="175" spans="1:7">
      <c r="A175" s="129"/>
      <c r="B175" s="148" t="s">
        <v>6</v>
      </c>
      <c r="C175" s="148"/>
      <c r="D175" s="153"/>
      <c r="E175" s="153"/>
      <c r="F175" s="151">
        <f>E176</f>
        <v>0</v>
      </c>
      <c r="G175" s="26"/>
    </row>
    <row r="176" spans="1:7">
      <c r="A176" s="123" t="s">
        <v>185</v>
      </c>
      <c r="B176" s="105" t="s">
        <v>32</v>
      </c>
      <c r="C176" s="109" t="s">
        <v>64</v>
      </c>
      <c r="D176" s="110">
        <v>1</v>
      </c>
      <c r="E176" s="111"/>
      <c r="F176" s="111">
        <f>E176</f>
        <v>0</v>
      </c>
      <c r="G176" s="26"/>
    </row>
    <row r="177" spans="1:7">
      <c r="A177" s="132"/>
      <c r="B177" s="132"/>
      <c r="C177" s="154"/>
      <c r="D177" s="155"/>
      <c r="E177" s="156"/>
      <c r="F177" s="154"/>
      <c r="G177" s="31"/>
    </row>
    <row r="178" spans="1:7">
      <c r="A178" s="132"/>
      <c r="B178" s="157" t="s">
        <v>54</v>
      </c>
      <c r="C178" s="154"/>
      <c r="D178" s="155"/>
      <c r="E178" s="407">
        <f>F83</f>
        <v>0</v>
      </c>
      <c r="F178" s="407"/>
      <c r="G178" s="26"/>
    </row>
    <row r="180" spans="1:7" ht="13.5" customHeight="1"/>
    <row r="189" spans="1:7">
      <c r="C189" s="9"/>
      <c r="D189" s="9"/>
      <c r="E189" s="9"/>
    </row>
  </sheetData>
  <mergeCells count="14">
    <mergeCell ref="E160:F160"/>
    <mergeCell ref="E178:F178"/>
    <mergeCell ref="D42:E42"/>
    <mergeCell ref="E78:F78"/>
    <mergeCell ref="A1:B1"/>
    <mergeCell ref="A2:B2"/>
    <mergeCell ref="B30:D30"/>
    <mergeCell ref="E159:F159"/>
    <mergeCell ref="D44:E44"/>
    <mergeCell ref="D46:E46"/>
    <mergeCell ref="E1:F1"/>
    <mergeCell ref="E2:F2"/>
    <mergeCell ref="E77:F77"/>
    <mergeCell ref="B28:D28"/>
  </mergeCells>
  <pageMargins left="0.70866141732283472" right="0.70866141732283472" top="0.78740157480314965" bottom="0.78740157480314965" header="0.31496062992125984" footer="0.31496062992125984"/>
  <pageSetup paperSize="9" scale="95" fitToHeight="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D846D-3777-4251-9C7B-CC233ED0EA9A}">
  <sheetPr>
    <pageSetUpPr fitToPage="1"/>
  </sheetPr>
  <dimension ref="A1:T110"/>
  <sheetViews>
    <sheetView zoomScale="80" zoomScaleNormal="80" workbookViewId="0">
      <selection activeCell="I16" sqref="I16"/>
    </sheetView>
  </sheetViews>
  <sheetFormatPr defaultColWidth="8" defaultRowHeight="15"/>
  <cols>
    <col min="1" max="1" width="9.6640625" style="386" bestFit="1" customWidth="1"/>
    <col min="2" max="2" width="11" style="386" customWidth="1"/>
    <col min="3" max="3" width="77.33203125" style="386" bestFit="1" customWidth="1"/>
    <col min="4" max="4" width="11" style="386" customWidth="1"/>
    <col min="5" max="5" width="10.6640625" style="386" customWidth="1"/>
    <col min="6" max="7" width="14.1640625" style="386" customWidth="1"/>
    <col min="8" max="8" width="13.5" style="386" customWidth="1"/>
    <col min="9" max="9" width="92.83203125" style="386" bestFit="1" customWidth="1"/>
    <col min="10" max="10" width="10.6640625" style="386" customWidth="1"/>
    <col min="11" max="11" width="10.6640625" style="322" customWidth="1"/>
    <col min="12" max="255" width="10.6640625" style="386" customWidth="1"/>
    <col min="256" max="256" width="9.6640625" style="386" bestFit="1" customWidth="1"/>
    <col min="257" max="257" width="8" style="386"/>
    <col min="258" max="258" width="9.6640625" style="386" bestFit="1" customWidth="1"/>
    <col min="259" max="259" width="8" style="386"/>
    <col min="260" max="260" width="77.33203125" style="386" bestFit="1" customWidth="1"/>
    <col min="261" max="261" width="11" style="386" customWidth="1"/>
    <col min="262" max="262" width="10.6640625" style="386" customWidth="1"/>
    <col min="263" max="263" width="14.1640625" style="386" customWidth="1"/>
    <col min="264" max="264" width="13.5" style="386" customWidth="1"/>
    <col min="265" max="265" width="92.83203125" style="386" bestFit="1" customWidth="1"/>
    <col min="266" max="511" width="10.6640625" style="386" customWidth="1"/>
    <col min="512" max="512" width="9.6640625" style="386" bestFit="1" customWidth="1"/>
    <col min="513" max="513" width="8" style="386"/>
    <col min="514" max="514" width="9.6640625" style="386" bestFit="1" customWidth="1"/>
    <col min="515" max="515" width="8" style="386"/>
    <col min="516" max="516" width="77.33203125" style="386" bestFit="1" customWidth="1"/>
    <col min="517" max="517" width="11" style="386" customWidth="1"/>
    <col min="518" max="518" width="10.6640625" style="386" customWidth="1"/>
    <col min="519" max="519" width="14.1640625" style="386" customWidth="1"/>
    <col min="520" max="520" width="13.5" style="386" customWidth="1"/>
    <col min="521" max="521" width="92.83203125" style="386" bestFit="1" customWidth="1"/>
    <col min="522" max="767" width="10.6640625" style="386" customWidth="1"/>
    <col min="768" max="768" width="9.6640625" style="386" bestFit="1" customWidth="1"/>
    <col min="769" max="769" width="8" style="386"/>
    <col min="770" max="770" width="9.6640625" style="386" bestFit="1" customWidth="1"/>
    <col min="771" max="771" width="8" style="386"/>
    <col min="772" max="772" width="77.33203125" style="386" bestFit="1" customWidth="1"/>
    <col min="773" max="773" width="11" style="386" customWidth="1"/>
    <col min="774" max="774" width="10.6640625" style="386" customWidth="1"/>
    <col min="775" max="775" width="14.1640625" style="386" customWidth="1"/>
    <col min="776" max="776" width="13.5" style="386" customWidth="1"/>
    <col min="777" max="777" width="92.83203125" style="386" bestFit="1" customWidth="1"/>
    <col min="778" max="1023" width="10.6640625" style="386" customWidth="1"/>
    <col min="1024" max="1024" width="9.6640625" style="386" bestFit="1" customWidth="1"/>
    <col min="1025" max="1025" width="8" style="386"/>
    <col min="1026" max="1026" width="9.6640625" style="386" bestFit="1" customWidth="1"/>
    <col min="1027" max="1027" width="8" style="386"/>
    <col min="1028" max="1028" width="77.33203125" style="386" bestFit="1" customWidth="1"/>
    <col min="1029" max="1029" width="11" style="386" customWidth="1"/>
    <col min="1030" max="1030" width="10.6640625" style="386" customWidth="1"/>
    <col min="1031" max="1031" width="14.1640625" style="386" customWidth="1"/>
    <col min="1032" max="1032" width="13.5" style="386" customWidth="1"/>
    <col min="1033" max="1033" width="92.83203125" style="386" bestFit="1" customWidth="1"/>
    <col min="1034" max="1279" width="10.6640625" style="386" customWidth="1"/>
    <col min="1280" max="1280" width="9.6640625" style="386" bestFit="1" customWidth="1"/>
    <col min="1281" max="1281" width="8" style="386"/>
    <col min="1282" max="1282" width="9.6640625" style="386" bestFit="1" customWidth="1"/>
    <col min="1283" max="1283" width="8" style="386"/>
    <col min="1284" max="1284" width="77.33203125" style="386" bestFit="1" customWidth="1"/>
    <col min="1285" max="1285" width="11" style="386" customWidth="1"/>
    <col min="1286" max="1286" width="10.6640625" style="386" customWidth="1"/>
    <col min="1287" max="1287" width="14.1640625" style="386" customWidth="1"/>
    <col min="1288" max="1288" width="13.5" style="386" customWidth="1"/>
    <col min="1289" max="1289" width="92.83203125" style="386" bestFit="1" customWidth="1"/>
    <col min="1290" max="1535" width="10.6640625" style="386" customWidth="1"/>
    <col min="1536" max="1536" width="9.6640625" style="386" bestFit="1" customWidth="1"/>
    <col min="1537" max="1537" width="8" style="386"/>
    <col min="1538" max="1538" width="9.6640625" style="386" bestFit="1" customWidth="1"/>
    <col min="1539" max="1539" width="8" style="386"/>
    <col min="1540" max="1540" width="77.33203125" style="386" bestFit="1" customWidth="1"/>
    <col min="1541" max="1541" width="11" style="386" customWidth="1"/>
    <col min="1542" max="1542" width="10.6640625" style="386" customWidth="1"/>
    <col min="1543" max="1543" width="14.1640625" style="386" customWidth="1"/>
    <col min="1544" max="1544" width="13.5" style="386" customWidth="1"/>
    <col min="1545" max="1545" width="92.83203125" style="386" bestFit="1" customWidth="1"/>
    <col min="1546" max="1791" width="10.6640625" style="386" customWidth="1"/>
    <col min="1792" max="1792" width="9.6640625" style="386" bestFit="1" customWidth="1"/>
    <col min="1793" max="1793" width="8" style="386"/>
    <col min="1794" max="1794" width="9.6640625" style="386" bestFit="1" customWidth="1"/>
    <col min="1795" max="1795" width="8" style="386"/>
    <col min="1796" max="1796" width="77.33203125" style="386" bestFit="1" customWidth="1"/>
    <col min="1797" max="1797" width="11" style="386" customWidth="1"/>
    <col min="1798" max="1798" width="10.6640625" style="386" customWidth="1"/>
    <col min="1799" max="1799" width="14.1640625" style="386" customWidth="1"/>
    <col min="1800" max="1800" width="13.5" style="386" customWidth="1"/>
    <col min="1801" max="1801" width="92.83203125" style="386" bestFit="1" customWidth="1"/>
    <col min="1802" max="2047" width="10.6640625" style="386" customWidth="1"/>
    <col min="2048" max="2048" width="9.6640625" style="386" bestFit="1" customWidth="1"/>
    <col min="2049" max="2049" width="8" style="386"/>
    <col min="2050" max="2050" width="9.6640625" style="386" bestFit="1" customWidth="1"/>
    <col min="2051" max="2051" width="8" style="386"/>
    <col min="2052" max="2052" width="77.33203125" style="386" bestFit="1" customWidth="1"/>
    <col min="2053" max="2053" width="11" style="386" customWidth="1"/>
    <col min="2054" max="2054" width="10.6640625" style="386" customWidth="1"/>
    <col min="2055" max="2055" width="14.1640625" style="386" customWidth="1"/>
    <col min="2056" max="2056" width="13.5" style="386" customWidth="1"/>
    <col min="2057" max="2057" width="92.83203125" style="386" bestFit="1" customWidth="1"/>
    <col min="2058" max="2303" width="10.6640625" style="386" customWidth="1"/>
    <col min="2304" max="2304" width="9.6640625" style="386" bestFit="1" customWidth="1"/>
    <col min="2305" max="2305" width="8" style="386"/>
    <col min="2306" max="2306" width="9.6640625" style="386" bestFit="1" customWidth="1"/>
    <col min="2307" max="2307" width="8" style="386"/>
    <col min="2308" max="2308" width="77.33203125" style="386" bestFit="1" customWidth="1"/>
    <col min="2309" max="2309" width="11" style="386" customWidth="1"/>
    <col min="2310" max="2310" width="10.6640625" style="386" customWidth="1"/>
    <col min="2311" max="2311" width="14.1640625" style="386" customWidth="1"/>
    <col min="2312" max="2312" width="13.5" style="386" customWidth="1"/>
    <col min="2313" max="2313" width="92.83203125" style="386" bestFit="1" customWidth="1"/>
    <col min="2314" max="2559" width="10.6640625" style="386" customWidth="1"/>
    <col min="2560" max="2560" width="9.6640625" style="386" bestFit="1" customWidth="1"/>
    <col min="2561" max="2561" width="8" style="386"/>
    <col min="2562" max="2562" width="9.6640625" style="386" bestFit="1" customWidth="1"/>
    <col min="2563" max="2563" width="8" style="386"/>
    <col min="2564" max="2564" width="77.33203125" style="386" bestFit="1" customWidth="1"/>
    <col min="2565" max="2565" width="11" style="386" customWidth="1"/>
    <col min="2566" max="2566" width="10.6640625" style="386" customWidth="1"/>
    <col min="2567" max="2567" width="14.1640625" style="386" customWidth="1"/>
    <col min="2568" max="2568" width="13.5" style="386" customWidth="1"/>
    <col min="2569" max="2569" width="92.83203125" style="386" bestFit="1" customWidth="1"/>
    <col min="2570" max="2815" width="10.6640625" style="386" customWidth="1"/>
    <col min="2816" max="2816" width="9.6640625" style="386" bestFit="1" customWidth="1"/>
    <col min="2817" max="2817" width="8" style="386"/>
    <col min="2818" max="2818" width="9.6640625" style="386" bestFit="1" customWidth="1"/>
    <col min="2819" max="2819" width="8" style="386"/>
    <col min="2820" max="2820" width="77.33203125" style="386" bestFit="1" customWidth="1"/>
    <col min="2821" max="2821" width="11" style="386" customWidth="1"/>
    <col min="2822" max="2822" width="10.6640625" style="386" customWidth="1"/>
    <col min="2823" max="2823" width="14.1640625" style="386" customWidth="1"/>
    <col min="2824" max="2824" width="13.5" style="386" customWidth="1"/>
    <col min="2825" max="2825" width="92.83203125" style="386" bestFit="1" customWidth="1"/>
    <col min="2826" max="3071" width="10.6640625" style="386" customWidth="1"/>
    <col min="3072" max="3072" width="9.6640625" style="386" bestFit="1" customWidth="1"/>
    <col min="3073" max="3073" width="8" style="386"/>
    <col min="3074" max="3074" width="9.6640625" style="386" bestFit="1" customWidth="1"/>
    <col min="3075" max="3075" width="8" style="386"/>
    <col min="3076" max="3076" width="77.33203125" style="386" bestFit="1" customWidth="1"/>
    <col min="3077" max="3077" width="11" style="386" customWidth="1"/>
    <col min="3078" max="3078" width="10.6640625" style="386" customWidth="1"/>
    <col min="3079" max="3079" width="14.1640625" style="386" customWidth="1"/>
    <col min="3080" max="3080" width="13.5" style="386" customWidth="1"/>
    <col min="3081" max="3081" width="92.83203125" style="386" bestFit="1" customWidth="1"/>
    <col min="3082" max="3327" width="10.6640625" style="386" customWidth="1"/>
    <col min="3328" max="3328" width="9.6640625" style="386" bestFit="1" customWidth="1"/>
    <col min="3329" max="3329" width="8" style="386"/>
    <col min="3330" max="3330" width="9.6640625" style="386" bestFit="1" customWidth="1"/>
    <col min="3331" max="3331" width="8" style="386"/>
    <col min="3332" max="3332" width="77.33203125" style="386" bestFit="1" customWidth="1"/>
    <col min="3333" max="3333" width="11" style="386" customWidth="1"/>
    <col min="3334" max="3334" width="10.6640625" style="386" customWidth="1"/>
    <col min="3335" max="3335" width="14.1640625" style="386" customWidth="1"/>
    <col min="3336" max="3336" width="13.5" style="386" customWidth="1"/>
    <col min="3337" max="3337" width="92.83203125" style="386" bestFit="1" customWidth="1"/>
    <col min="3338" max="3583" width="10.6640625" style="386" customWidth="1"/>
    <col min="3584" max="3584" width="9.6640625" style="386" bestFit="1" customWidth="1"/>
    <col min="3585" max="3585" width="8" style="386"/>
    <col min="3586" max="3586" width="9.6640625" style="386" bestFit="1" customWidth="1"/>
    <col min="3587" max="3587" width="8" style="386"/>
    <col min="3588" max="3588" width="77.33203125" style="386" bestFit="1" customWidth="1"/>
    <col min="3589" max="3589" width="11" style="386" customWidth="1"/>
    <col min="3590" max="3590" width="10.6640625" style="386" customWidth="1"/>
    <col min="3591" max="3591" width="14.1640625" style="386" customWidth="1"/>
    <col min="3592" max="3592" width="13.5" style="386" customWidth="1"/>
    <col min="3593" max="3593" width="92.83203125" style="386" bestFit="1" customWidth="1"/>
    <col min="3594" max="3839" width="10.6640625" style="386" customWidth="1"/>
    <col min="3840" max="3840" width="9.6640625" style="386" bestFit="1" customWidth="1"/>
    <col min="3841" max="3841" width="8" style="386"/>
    <col min="3842" max="3842" width="9.6640625" style="386" bestFit="1" customWidth="1"/>
    <col min="3843" max="3843" width="8" style="386"/>
    <col min="3844" max="3844" width="77.33203125" style="386" bestFit="1" customWidth="1"/>
    <col min="3845" max="3845" width="11" style="386" customWidth="1"/>
    <col min="3846" max="3846" width="10.6640625" style="386" customWidth="1"/>
    <col min="3847" max="3847" width="14.1640625" style="386" customWidth="1"/>
    <col min="3848" max="3848" width="13.5" style="386" customWidth="1"/>
    <col min="3849" max="3849" width="92.83203125" style="386" bestFit="1" customWidth="1"/>
    <col min="3850" max="4095" width="10.6640625" style="386" customWidth="1"/>
    <col min="4096" max="4096" width="9.6640625" style="386" bestFit="1" customWidth="1"/>
    <col min="4097" max="4097" width="8" style="386"/>
    <col min="4098" max="4098" width="9.6640625" style="386" bestFit="1" customWidth="1"/>
    <col min="4099" max="4099" width="8" style="386"/>
    <col min="4100" max="4100" width="77.33203125" style="386" bestFit="1" customWidth="1"/>
    <col min="4101" max="4101" width="11" style="386" customWidth="1"/>
    <col min="4102" max="4102" width="10.6640625" style="386" customWidth="1"/>
    <col min="4103" max="4103" width="14.1640625" style="386" customWidth="1"/>
    <col min="4104" max="4104" width="13.5" style="386" customWidth="1"/>
    <col min="4105" max="4105" width="92.83203125" style="386" bestFit="1" customWidth="1"/>
    <col min="4106" max="4351" width="10.6640625" style="386" customWidth="1"/>
    <col min="4352" max="4352" width="9.6640625" style="386" bestFit="1" customWidth="1"/>
    <col min="4353" max="4353" width="8" style="386"/>
    <col min="4354" max="4354" width="9.6640625" style="386" bestFit="1" customWidth="1"/>
    <col min="4355" max="4355" width="8" style="386"/>
    <col min="4356" max="4356" width="77.33203125" style="386" bestFit="1" customWidth="1"/>
    <col min="4357" max="4357" width="11" style="386" customWidth="1"/>
    <col min="4358" max="4358" width="10.6640625" style="386" customWidth="1"/>
    <col min="4359" max="4359" width="14.1640625" style="386" customWidth="1"/>
    <col min="4360" max="4360" width="13.5" style="386" customWidth="1"/>
    <col min="4361" max="4361" width="92.83203125" style="386" bestFit="1" customWidth="1"/>
    <col min="4362" max="4607" width="10.6640625" style="386" customWidth="1"/>
    <col min="4608" max="4608" width="9.6640625" style="386" bestFit="1" customWidth="1"/>
    <col min="4609" max="4609" width="8" style="386"/>
    <col min="4610" max="4610" width="9.6640625" style="386" bestFit="1" customWidth="1"/>
    <col min="4611" max="4611" width="8" style="386"/>
    <col min="4612" max="4612" width="77.33203125" style="386" bestFit="1" customWidth="1"/>
    <col min="4613" max="4613" width="11" style="386" customWidth="1"/>
    <col min="4614" max="4614" width="10.6640625" style="386" customWidth="1"/>
    <col min="4615" max="4615" width="14.1640625" style="386" customWidth="1"/>
    <col min="4616" max="4616" width="13.5" style="386" customWidth="1"/>
    <col min="4617" max="4617" width="92.83203125" style="386" bestFit="1" customWidth="1"/>
    <col min="4618" max="4863" width="10.6640625" style="386" customWidth="1"/>
    <col min="4864" max="4864" width="9.6640625" style="386" bestFit="1" customWidth="1"/>
    <col min="4865" max="4865" width="8" style="386"/>
    <col min="4866" max="4866" width="9.6640625" style="386" bestFit="1" customWidth="1"/>
    <col min="4867" max="4867" width="8" style="386"/>
    <col min="4868" max="4868" width="77.33203125" style="386" bestFit="1" customWidth="1"/>
    <col min="4869" max="4869" width="11" style="386" customWidth="1"/>
    <col min="4870" max="4870" width="10.6640625" style="386" customWidth="1"/>
    <col min="4871" max="4871" width="14.1640625" style="386" customWidth="1"/>
    <col min="4872" max="4872" width="13.5" style="386" customWidth="1"/>
    <col min="4873" max="4873" width="92.83203125" style="386" bestFit="1" customWidth="1"/>
    <col min="4874" max="5119" width="10.6640625" style="386" customWidth="1"/>
    <col min="5120" max="5120" width="9.6640625" style="386" bestFit="1" customWidth="1"/>
    <col min="5121" max="5121" width="8" style="386"/>
    <col min="5122" max="5122" width="9.6640625" style="386" bestFit="1" customWidth="1"/>
    <col min="5123" max="5123" width="8" style="386"/>
    <col min="5124" max="5124" width="77.33203125" style="386" bestFit="1" customWidth="1"/>
    <col min="5125" max="5125" width="11" style="386" customWidth="1"/>
    <col min="5126" max="5126" width="10.6640625" style="386" customWidth="1"/>
    <col min="5127" max="5127" width="14.1640625" style="386" customWidth="1"/>
    <col min="5128" max="5128" width="13.5" style="386" customWidth="1"/>
    <col min="5129" max="5129" width="92.83203125" style="386" bestFit="1" customWidth="1"/>
    <col min="5130" max="5375" width="10.6640625" style="386" customWidth="1"/>
    <col min="5376" max="5376" width="9.6640625" style="386" bestFit="1" customWidth="1"/>
    <col min="5377" max="5377" width="8" style="386"/>
    <col min="5378" max="5378" width="9.6640625" style="386" bestFit="1" customWidth="1"/>
    <col min="5379" max="5379" width="8" style="386"/>
    <col min="5380" max="5380" width="77.33203125" style="386" bestFit="1" customWidth="1"/>
    <col min="5381" max="5381" width="11" style="386" customWidth="1"/>
    <col min="5382" max="5382" width="10.6640625" style="386" customWidth="1"/>
    <col min="5383" max="5383" width="14.1640625" style="386" customWidth="1"/>
    <col min="5384" max="5384" width="13.5" style="386" customWidth="1"/>
    <col min="5385" max="5385" width="92.83203125" style="386" bestFit="1" customWidth="1"/>
    <col min="5386" max="5631" width="10.6640625" style="386" customWidth="1"/>
    <col min="5632" max="5632" width="9.6640625" style="386" bestFit="1" customWidth="1"/>
    <col min="5633" max="5633" width="8" style="386"/>
    <col min="5634" max="5634" width="9.6640625" style="386" bestFit="1" customWidth="1"/>
    <col min="5635" max="5635" width="8" style="386"/>
    <col min="5636" max="5636" width="77.33203125" style="386" bestFit="1" customWidth="1"/>
    <col min="5637" max="5637" width="11" style="386" customWidth="1"/>
    <col min="5638" max="5638" width="10.6640625" style="386" customWidth="1"/>
    <col min="5639" max="5639" width="14.1640625" style="386" customWidth="1"/>
    <col min="5640" max="5640" width="13.5" style="386" customWidth="1"/>
    <col min="5641" max="5641" width="92.83203125" style="386" bestFit="1" customWidth="1"/>
    <col min="5642" max="5887" width="10.6640625" style="386" customWidth="1"/>
    <col min="5888" max="5888" width="9.6640625" style="386" bestFit="1" customWidth="1"/>
    <col min="5889" max="5889" width="8" style="386"/>
    <col min="5890" max="5890" width="9.6640625" style="386" bestFit="1" customWidth="1"/>
    <col min="5891" max="5891" width="8" style="386"/>
    <col min="5892" max="5892" width="77.33203125" style="386" bestFit="1" customWidth="1"/>
    <col min="5893" max="5893" width="11" style="386" customWidth="1"/>
    <col min="5894" max="5894" width="10.6640625" style="386" customWidth="1"/>
    <col min="5895" max="5895" width="14.1640625" style="386" customWidth="1"/>
    <col min="5896" max="5896" width="13.5" style="386" customWidth="1"/>
    <col min="5897" max="5897" width="92.83203125" style="386" bestFit="1" customWidth="1"/>
    <col min="5898" max="6143" width="10.6640625" style="386" customWidth="1"/>
    <col min="6144" max="6144" width="9.6640625" style="386" bestFit="1" customWidth="1"/>
    <col min="6145" max="6145" width="8" style="386"/>
    <col min="6146" max="6146" width="9.6640625" style="386" bestFit="1" customWidth="1"/>
    <col min="6147" max="6147" width="8" style="386"/>
    <col min="6148" max="6148" width="77.33203125" style="386" bestFit="1" customWidth="1"/>
    <col min="6149" max="6149" width="11" style="386" customWidth="1"/>
    <col min="6150" max="6150" width="10.6640625" style="386" customWidth="1"/>
    <col min="6151" max="6151" width="14.1640625" style="386" customWidth="1"/>
    <col min="6152" max="6152" width="13.5" style="386" customWidth="1"/>
    <col min="6153" max="6153" width="92.83203125" style="386" bestFit="1" customWidth="1"/>
    <col min="6154" max="6399" width="10.6640625" style="386" customWidth="1"/>
    <col min="6400" max="6400" width="9.6640625" style="386" bestFit="1" customWidth="1"/>
    <col min="6401" max="6401" width="8" style="386"/>
    <col min="6402" max="6402" width="9.6640625" style="386" bestFit="1" customWidth="1"/>
    <col min="6403" max="6403" width="8" style="386"/>
    <col min="6404" max="6404" width="77.33203125" style="386" bestFit="1" customWidth="1"/>
    <col min="6405" max="6405" width="11" style="386" customWidth="1"/>
    <col min="6406" max="6406" width="10.6640625" style="386" customWidth="1"/>
    <col min="6407" max="6407" width="14.1640625" style="386" customWidth="1"/>
    <col min="6408" max="6408" width="13.5" style="386" customWidth="1"/>
    <col min="6409" max="6409" width="92.83203125" style="386" bestFit="1" customWidth="1"/>
    <col min="6410" max="6655" width="10.6640625" style="386" customWidth="1"/>
    <col min="6656" max="6656" width="9.6640625" style="386" bestFit="1" customWidth="1"/>
    <col min="6657" max="6657" width="8" style="386"/>
    <col min="6658" max="6658" width="9.6640625" style="386" bestFit="1" customWidth="1"/>
    <col min="6659" max="6659" width="8" style="386"/>
    <col min="6660" max="6660" width="77.33203125" style="386" bestFit="1" customWidth="1"/>
    <col min="6661" max="6661" width="11" style="386" customWidth="1"/>
    <col min="6662" max="6662" width="10.6640625" style="386" customWidth="1"/>
    <col min="6663" max="6663" width="14.1640625" style="386" customWidth="1"/>
    <col min="6664" max="6664" width="13.5" style="386" customWidth="1"/>
    <col min="6665" max="6665" width="92.83203125" style="386" bestFit="1" customWidth="1"/>
    <col min="6666" max="6911" width="10.6640625" style="386" customWidth="1"/>
    <col min="6912" max="6912" width="9.6640625" style="386" bestFit="1" customWidth="1"/>
    <col min="6913" max="6913" width="8" style="386"/>
    <col min="6914" max="6914" width="9.6640625" style="386" bestFit="1" customWidth="1"/>
    <col min="6915" max="6915" width="8" style="386"/>
    <col min="6916" max="6916" width="77.33203125" style="386" bestFit="1" customWidth="1"/>
    <col min="6917" max="6917" width="11" style="386" customWidth="1"/>
    <col min="6918" max="6918" width="10.6640625" style="386" customWidth="1"/>
    <col min="6919" max="6919" width="14.1640625" style="386" customWidth="1"/>
    <col min="6920" max="6920" width="13.5" style="386" customWidth="1"/>
    <col min="6921" max="6921" width="92.83203125" style="386" bestFit="1" customWidth="1"/>
    <col min="6922" max="7167" width="10.6640625" style="386" customWidth="1"/>
    <col min="7168" max="7168" width="9.6640625" style="386" bestFit="1" customWidth="1"/>
    <col min="7169" max="7169" width="8" style="386"/>
    <col min="7170" max="7170" width="9.6640625" style="386" bestFit="1" customWidth="1"/>
    <col min="7171" max="7171" width="8" style="386"/>
    <col min="7172" max="7172" width="77.33203125" style="386" bestFit="1" customWidth="1"/>
    <col min="7173" max="7173" width="11" style="386" customWidth="1"/>
    <col min="7174" max="7174" width="10.6640625" style="386" customWidth="1"/>
    <col min="7175" max="7175" width="14.1640625" style="386" customWidth="1"/>
    <col min="7176" max="7176" width="13.5" style="386" customWidth="1"/>
    <col min="7177" max="7177" width="92.83203125" style="386" bestFit="1" customWidth="1"/>
    <col min="7178" max="7423" width="10.6640625" style="386" customWidth="1"/>
    <col min="7424" max="7424" width="9.6640625" style="386" bestFit="1" customWidth="1"/>
    <col min="7425" max="7425" width="8" style="386"/>
    <col min="7426" max="7426" width="9.6640625" style="386" bestFit="1" customWidth="1"/>
    <col min="7427" max="7427" width="8" style="386"/>
    <col min="7428" max="7428" width="77.33203125" style="386" bestFit="1" customWidth="1"/>
    <col min="7429" max="7429" width="11" style="386" customWidth="1"/>
    <col min="7430" max="7430" width="10.6640625" style="386" customWidth="1"/>
    <col min="7431" max="7431" width="14.1640625" style="386" customWidth="1"/>
    <col min="7432" max="7432" width="13.5" style="386" customWidth="1"/>
    <col min="7433" max="7433" width="92.83203125" style="386" bestFit="1" customWidth="1"/>
    <col min="7434" max="7679" width="10.6640625" style="386" customWidth="1"/>
    <col min="7680" max="7680" width="9.6640625" style="386" bestFit="1" customWidth="1"/>
    <col min="7681" max="7681" width="8" style="386"/>
    <col min="7682" max="7682" width="9.6640625" style="386" bestFit="1" customWidth="1"/>
    <col min="7683" max="7683" width="8" style="386"/>
    <col min="7684" max="7684" width="77.33203125" style="386" bestFit="1" customWidth="1"/>
    <col min="7685" max="7685" width="11" style="386" customWidth="1"/>
    <col min="7686" max="7686" width="10.6640625" style="386" customWidth="1"/>
    <col min="7687" max="7687" width="14.1640625" style="386" customWidth="1"/>
    <col min="7688" max="7688" width="13.5" style="386" customWidth="1"/>
    <col min="7689" max="7689" width="92.83203125" style="386" bestFit="1" customWidth="1"/>
    <col min="7690" max="7935" width="10.6640625" style="386" customWidth="1"/>
    <col min="7936" max="7936" width="9.6640625" style="386" bestFit="1" customWidth="1"/>
    <col min="7937" max="7937" width="8" style="386"/>
    <col min="7938" max="7938" width="9.6640625" style="386" bestFit="1" customWidth="1"/>
    <col min="7939" max="7939" width="8" style="386"/>
    <col min="7940" max="7940" width="77.33203125" style="386" bestFit="1" customWidth="1"/>
    <col min="7941" max="7941" width="11" style="386" customWidth="1"/>
    <col min="7942" max="7942" width="10.6640625" style="386" customWidth="1"/>
    <col min="7943" max="7943" width="14.1640625" style="386" customWidth="1"/>
    <col min="7944" max="7944" width="13.5" style="386" customWidth="1"/>
    <col min="7945" max="7945" width="92.83203125" style="386" bestFit="1" customWidth="1"/>
    <col min="7946" max="8191" width="10.6640625" style="386" customWidth="1"/>
    <col min="8192" max="8192" width="9.6640625" style="386" bestFit="1" customWidth="1"/>
    <col min="8193" max="8193" width="8" style="386"/>
    <col min="8194" max="8194" width="9.6640625" style="386" bestFit="1" customWidth="1"/>
    <col min="8195" max="8195" width="8" style="386"/>
    <col min="8196" max="8196" width="77.33203125" style="386" bestFit="1" customWidth="1"/>
    <col min="8197" max="8197" width="11" style="386" customWidth="1"/>
    <col min="8198" max="8198" width="10.6640625" style="386" customWidth="1"/>
    <col min="8199" max="8199" width="14.1640625" style="386" customWidth="1"/>
    <col min="8200" max="8200" width="13.5" style="386" customWidth="1"/>
    <col min="8201" max="8201" width="92.83203125" style="386" bestFit="1" customWidth="1"/>
    <col min="8202" max="8447" width="10.6640625" style="386" customWidth="1"/>
    <col min="8448" max="8448" width="9.6640625" style="386" bestFit="1" customWidth="1"/>
    <col min="8449" max="8449" width="8" style="386"/>
    <col min="8450" max="8450" width="9.6640625" style="386" bestFit="1" customWidth="1"/>
    <col min="8451" max="8451" width="8" style="386"/>
    <col min="8452" max="8452" width="77.33203125" style="386" bestFit="1" customWidth="1"/>
    <col min="8453" max="8453" width="11" style="386" customWidth="1"/>
    <col min="8454" max="8454" width="10.6640625" style="386" customWidth="1"/>
    <col min="8455" max="8455" width="14.1640625" style="386" customWidth="1"/>
    <col min="8456" max="8456" width="13.5" style="386" customWidth="1"/>
    <col min="8457" max="8457" width="92.83203125" style="386" bestFit="1" customWidth="1"/>
    <col min="8458" max="8703" width="10.6640625" style="386" customWidth="1"/>
    <col min="8704" max="8704" width="9.6640625" style="386" bestFit="1" customWidth="1"/>
    <col min="8705" max="8705" width="8" style="386"/>
    <col min="8706" max="8706" width="9.6640625" style="386" bestFit="1" customWidth="1"/>
    <col min="8707" max="8707" width="8" style="386"/>
    <col min="8708" max="8708" width="77.33203125" style="386" bestFit="1" customWidth="1"/>
    <col min="8709" max="8709" width="11" style="386" customWidth="1"/>
    <col min="8710" max="8710" width="10.6640625" style="386" customWidth="1"/>
    <col min="8711" max="8711" width="14.1640625" style="386" customWidth="1"/>
    <col min="8712" max="8712" width="13.5" style="386" customWidth="1"/>
    <col min="8713" max="8713" width="92.83203125" style="386" bestFit="1" customWidth="1"/>
    <col min="8714" max="8959" width="10.6640625" style="386" customWidth="1"/>
    <col min="8960" max="8960" width="9.6640625" style="386" bestFit="1" customWidth="1"/>
    <col min="8961" max="8961" width="8" style="386"/>
    <col min="8962" max="8962" width="9.6640625" style="386" bestFit="1" customWidth="1"/>
    <col min="8963" max="8963" width="8" style="386"/>
    <col min="8964" max="8964" width="77.33203125" style="386" bestFit="1" customWidth="1"/>
    <col min="8965" max="8965" width="11" style="386" customWidth="1"/>
    <col min="8966" max="8966" width="10.6640625" style="386" customWidth="1"/>
    <col min="8967" max="8967" width="14.1640625" style="386" customWidth="1"/>
    <col min="8968" max="8968" width="13.5" style="386" customWidth="1"/>
    <col min="8969" max="8969" width="92.83203125" style="386" bestFit="1" customWidth="1"/>
    <col min="8970" max="9215" width="10.6640625" style="386" customWidth="1"/>
    <col min="9216" max="9216" width="9.6640625" style="386" bestFit="1" customWidth="1"/>
    <col min="9217" max="9217" width="8" style="386"/>
    <col min="9218" max="9218" width="9.6640625" style="386" bestFit="1" customWidth="1"/>
    <col min="9219" max="9219" width="8" style="386"/>
    <col min="9220" max="9220" width="77.33203125" style="386" bestFit="1" customWidth="1"/>
    <col min="9221" max="9221" width="11" style="386" customWidth="1"/>
    <col min="9222" max="9222" width="10.6640625" style="386" customWidth="1"/>
    <col min="9223" max="9223" width="14.1640625" style="386" customWidth="1"/>
    <col min="9224" max="9224" width="13.5" style="386" customWidth="1"/>
    <col min="9225" max="9225" width="92.83203125" style="386" bestFit="1" customWidth="1"/>
    <col min="9226" max="9471" width="10.6640625" style="386" customWidth="1"/>
    <col min="9472" max="9472" width="9.6640625" style="386" bestFit="1" customWidth="1"/>
    <col min="9473" max="9473" width="8" style="386"/>
    <col min="9474" max="9474" width="9.6640625" style="386" bestFit="1" customWidth="1"/>
    <col min="9475" max="9475" width="8" style="386"/>
    <col min="9476" max="9476" width="77.33203125" style="386" bestFit="1" customWidth="1"/>
    <col min="9477" max="9477" width="11" style="386" customWidth="1"/>
    <col min="9478" max="9478" width="10.6640625" style="386" customWidth="1"/>
    <col min="9479" max="9479" width="14.1640625" style="386" customWidth="1"/>
    <col min="9480" max="9480" width="13.5" style="386" customWidth="1"/>
    <col min="9481" max="9481" width="92.83203125" style="386" bestFit="1" customWidth="1"/>
    <col min="9482" max="9727" width="10.6640625" style="386" customWidth="1"/>
    <col min="9728" max="9728" width="9.6640625" style="386" bestFit="1" customWidth="1"/>
    <col min="9729" max="9729" width="8" style="386"/>
    <col min="9730" max="9730" width="9.6640625" style="386" bestFit="1" customWidth="1"/>
    <col min="9731" max="9731" width="8" style="386"/>
    <col min="9732" max="9732" width="77.33203125" style="386" bestFit="1" customWidth="1"/>
    <col min="9733" max="9733" width="11" style="386" customWidth="1"/>
    <col min="9734" max="9734" width="10.6640625" style="386" customWidth="1"/>
    <col min="9735" max="9735" width="14.1640625" style="386" customWidth="1"/>
    <col min="9736" max="9736" width="13.5" style="386" customWidth="1"/>
    <col min="9737" max="9737" width="92.83203125" style="386" bestFit="1" customWidth="1"/>
    <col min="9738" max="9983" width="10.6640625" style="386" customWidth="1"/>
    <col min="9984" max="9984" width="9.6640625" style="386" bestFit="1" customWidth="1"/>
    <col min="9985" max="9985" width="8" style="386"/>
    <col min="9986" max="9986" width="9.6640625" style="386" bestFit="1" customWidth="1"/>
    <col min="9987" max="9987" width="8" style="386"/>
    <col min="9988" max="9988" width="77.33203125" style="386" bestFit="1" customWidth="1"/>
    <col min="9989" max="9989" width="11" style="386" customWidth="1"/>
    <col min="9990" max="9990" width="10.6640625" style="386" customWidth="1"/>
    <col min="9991" max="9991" width="14.1640625" style="386" customWidth="1"/>
    <col min="9992" max="9992" width="13.5" style="386" customWidth="1"/>
    <col min="9993" max="9993" width="92.83203125" style="386" bestFit="1" customWidth="1"/>
    <col min="9994" max="10239" width="10.6640625" style="386" customWidth="1"/>
    <col min="10240" max="10240" width="9.6640625" style="386" bestFit="1" customWidth="1"/>
    <col min="10241" max="10241" width="8" style="386"/>
    <col min="10242" max="10242" width="9.6640625" style="386" bestFit="1" customWidth="1"/>
    <col min="10243" max="10243" width="8" style="386"/>
    <col min="10244" max="10244" width="77.33203125" style="386" bestFit="1" customWidth="1"/>
    <col min="10245" max="10245" width="11" style="386" customWidth="1"/>
    <col min="10246" max="10246" width="10.6640625" style="386" customWidth="1"/>
    <col min="10247" max="10247" width="14.1640625" style="386" customWidth="1"/>
    <col min="10248" max="10248" width="13.5" style="386" customWidth="1"/>
    <col min="10249" max="10249" width="92.83203125" style="386" bestFit="1" customWidth="1"/>
    <col min="10250" max="10495" width="10.6640625" style="386" customWidth="1"/>
    <col min="10496" max="10496" width="9.6640625" style="386" bestFit="1" customWidth="1"/>
    <col min="10497" max="10497" width="8" style="386"/>
    <col min="10498" max="10498" width="9.6640625" style="386" bestFit="1" customWidth="1"/>
    <col min="10499" max="10499" width="8" style="386"/>
    <col min="10500" max="10500" width="77.33203125" style="386" bestFit="1" customWidth="1"/>
    <col min="10501" max="10501" width="11" style="386" customWidth="1"/>
    <col min="10502" max="10502" width="10.6640625" style="386" customWidth="1"/>
    <col min="10503" max="10503" width="14.1640625" style="386" customWidth="1"/>
    <col min="10504" max="10504" width="13.5" style="386" customWidth="1"/>
    <col min="10505" max="10505" width="92.83203125" style="386" bestFit="1" customWidth="1"/>
    <col min="10506" max="10751" width="10.6640625" style="386" customWidth="1"/>
    <col min="10752" max="10752" width="9.6640625" style="386" bestFit="1" customWidth="1"/>
    <col min="10753" max="10753" width="8" style="386"/>
    <col min="10754" max="10754" width="9.6640625" style="386" bestFit="1" customWidth="1"/>
    <col min="10755" max="10755" width="8" style="386"/>
    <col min="10756" max="10756" width="77.33203125" style="386" bestFit="1" customWidth="1"/>
    <col min="10757" max="10757" width="11" style="386" customWidth="1"/>
    <col min="10758" max="10758" width="10.6640625" style="386" customWidth="1"/>
    <col min="10759" max="10759" width="14.1640625" style="386" customWidth="1"/>
    <col min="10760" max="10760" width="13.5" style="386" customWidth="1"/>
    <col min="10761" max="10761" width="92.83203125" style="386" bestFit="1" customWidth="1"/>
    <col min="10762" max="11007" width="10.6640625" style="386" customWidth="1"/>
    <col min="11008" max="11008" width="9.6640625" style="386" bestFit="1" customWidth="1"/>
    <col min="11009" max="11009" width="8" style="386"/>
    <col min="11010" max="11010" width="9.6640625" style="386" bestFit="1" customWidth="1"/>
    <col min="11011" max="11011" width="8" style="386"/>
    <col min="11012" max="11012" width="77.33203125" style="386" bestFit="1" customWidth="1"/>
    <col min="11013" max="11013" width="11" style="386" customWidth="1"/>
    <col min="11014" max="11014" width="10.6640625" style="386" customWidth="1"/>
    <col min="11015" max="11015" width="14.1640625" style="386" customWidth="1"/>
    <col min="11016" max="11016" width="13.5" style="386" customWidth="1"/>
    <col min="11017" max="11017" width="92.83203125" style="386" bestFit="1" customWidth="1"/>
    <col min="11018" max="11263" width="10.6640625" style="386" customWidth="1"/>
    <col min="11264" max="11264" width="9.6640625" style="386" bestFit="1" customWidth="1"/>
    <col min="11265" max="11265" width="8" style="386"/>
    <col min="11266" max="11266" width="9.6640625" style="386" bestFit="1" customWidth="1"/>
    <col min="11267" max="11267" width="8" style="386"/>
    <col min="11268" max="11268" width="77.33203125" style="386" bestFit="1" customWidth="1"/>
    <col min="11269" max="11269" width="11" style="386" customWidth="1"/>
    <col min="11270" max="11270" width="10.6640625" style="386" customWidth="1"/>
    <col min="11271" max="11271" width="14.1640625" style="386" customWidth="1"/>
    <col min="11272" max="11272" width="13.5" style="386" customWidth="1"/>
    <col min="11273" max="11273" width="92.83203125" style="386" bestFit="1" customWidth="1"/>
    <col min="11274" max="11519" width="10.6640625" style="386" customWidth="1"/>
    <col min="11520" max="11520" width="9.6640625" style="386" bestFit="1" customWidth="1"/>
    <col min="11521" max="11521" width="8" style="386"/>
    <col min="11522" max="11522" width="9.6640625" style="386" bestFit="1" customWidth="1"/>
    <col min="11523" max="11523" width="8" style="386"/>
    <col min="11524" max="11524" width="77.33203125" style="386" bestFit="1" customWidth="1"/>
    <col min="11525" max="11525" width="11" style="386" customWidth="1"/>
    <col min="11526" max="11526" width="10.6640625" style="386" customWidth="1"/>
    <col min="11527" max="11527" width="14.1640625" style="386" customWidth="1"/>
    <col min="11528" max="11528" width="13.5" style="386" customWidth="1"/>
    <col min="11529" max="11529" width="92.83203125" style="386" bestFit="1" customWidth="1"/>
    <col min="11530" max="11775" width="10.6640625" style="386" customWidth="1"/>
    <col min="11776" max="11776" width="9.6640625" style="386" bestFit="1" customWidth="1"/>
    <col min="11777" max="11777" width="8" style="386"/>
    <col min="11778" max="11778" width="9.6640625" style="386" bestFit="1" customWidth="1"/>
    <col min="11779" max="11779" width="8" style="386"/>
    <col min="11780" max="11780" width="77.33203125" style="386" bestFit="1" customWidth="1"/>
    <col min="11781" max="11781" width="11" style="386" customWidth="1"/>
    <col min="11782" max="11782" width="10.6640625" style="386" customWidth="1"/>
    <col min="11783" max="11783" width="14.1640625" style="386" customWidth="1"/>
    <col min="11784" max="11784" width="13.5" style="386" customWidth="1"/>
    <col min="11785" max="11785" width="92.83203125" style="386" bestFit="1" customWidth="1"/>
    <col min="11786" max="12031" width="10.6640625" style="386" customWidth="1"/>
    <col min="12032" max="12032" width="9.6640625" style="386" bestFit="1" customWidth="1"/>
    <col min="12033" max="12033" width="8" style="386"/>
    <col min="12034" max="12034" width="9.6640625" style="386" bestFit="1" customWidth="1"/>
    <col min="12035" max="12035" width="8" style="386"/>
    <col min="12036" max="12036" width="77.33203125" style="386" bestFit="1" customWidth="1"/>
    <col min="12037" max="12037" width="11" style="386" customWidth="1"/>
    <col min="12038" max="12038" width="10.6640625" style="386" customWidth="1"/>
    <col min="12039" max="12039" width="14.1640625" style="386" customWidth="1"/>
    <col min="12040" max="12040" width="13.5" style="386" customWidth="1"/>
    <col min="12041" max="12041" width="92.83203125" style="386" bestFit="1" customWidth="1"/>
    <col min="12042" max="12287" width="10.6640625" style="386" customWidth="1"/>
    <col min="12288" max="12288" width="9.6640625" style="386" bestFit="1" customWidth="1"/>
    <col min="12289" max="12289" width="8" style="386"/>
    <col min="12290" max="12290" width="9.6640625" style="386" bestFit="1" customWidth="1"/>
    <col min="12291" max="12291" width="8" style="386"/>
    <col min="12292" max="12292" width="77.33203125" style="386" bestFit="1" customWidth="1"/>
    <col min="12293" max="12293" width="11" style="386" customWidth="1"/>
    <col min="12294" max="12294" width="10.6640625" style="386" customWidth="1"/>
    <col min="12295" max="12295" width="14.1640625" style="386" customWidth="1"/>
    <col min="12296" max="12296" width="13.5" style="386" customWidth="1"/>
    <col min="12297" max="12297" width="92.83203125" style="386" bestFit="1" customWidth="1"/>
    <col min="12298" max="12543" width="10.6640625" style="386" customWidth="1"/>
    <col min="12544" max="12544" width="9.6640625" style="386" bestFit="1" customWidth="1"/>
    <col min="12545" max="12545" width="8" style="386"/>
    <col min="12546" max="12546" width="9.6640625" style="386" bestFit="1" customWidth="1"/>
    <col min="12547" max="12547" width="8" style="386"/>
    <col min="12548" max="12548" width="77.33203125" style="386" bestFit="1" customWidth="1"/>
    <col min="12549" max="12549" width="11" style="386" customWidth="1"/>
    <col min="12550" max="12550" width="10.6640625" style="386" customWidth="1"/>
    <col min="12551" max="12551" width="14.1640625" style="386" customWidth="1"/>
    <col min="12552" max="12552" width="13.5" style="386" customWidth="1"/>
    <col min="12553" max="12553" width="92.83203125" style="386" bestFit="1" customWidth="1"/>
    <col min="12554" max="12799" width="10.6640625" style="386" customWidth="1"/>
    <col min="12800" max="12800" width="9.6640625" style="386" bestFit="1" customWidth="1"/>
    <col min="12801" max="12801" width="8" style="386"/>
    <col min="12802" max="12802" width="9.6640625" style="386" bestFit="1" customWidth="1"/>
    <col min="12803" max="12803" width="8" style="386"/>
    <col min="12804" max="12804" width="77.33203125" style="386" bestFit="1" customWidth="1"/>
    <col min="12805" max="12805" width="11" style="386" customWidth="1"/>
    <col min="12806" max="12806" width="10.6640625" style="386" customWidth="1"/>
    <col min="12807" max="12807" width="14.1640625" style="386" customWidth="1"/>
    <col min="12808" max="12808" width="13.5" style="386" customWidth="1"/>
    <col min="12809" max="12809" width="92.83203125" style="386" bestFit="1" customWidth="1"/>
    <col min="12810" max="13055" width="10.6640625" style="386" customWidth="1"/>
    <col min="13056" max="13056" width="9.6640625" style="386" bestFit="1" customWidth="1"/>
    <col min="13057" max="13057" width="8" style="386"/>
    <col min="13058" max="13058" width="9.6640625" style="386" bestFit="1" customWidth="1"/>
    <col min="13059" max="13059" width="8" style="386"/>
    <col min="13060" max="13060" width="77.33203125" style="386" bestFit="1" customWidth="1"/>
    <col min="13061" max="13061" width="11" style="386" customWidth="1"/>
    <col min="13062" max="13062" width="10.6640625" style="386" customWidth="1"/>
    <col min="13063" max="13063" width="14.1640625" style="386" customWidth="1"/>
    <col min="13064" max="13064" width="13.5" style="386" customWidth="1"/>
    <col min="13065" max="13065" width="92.83203125" style="386" bestFit="1" customWidth="1"/>
    <col min="13066" max="13311" width="10.6640625" style="386" customWidth="1"/>
    <col min="13312" max="13312" width="9.6640625" style="386" bestFit="1" customWidth="1"/>
    <col min="13313" max="13313" width="8" style="386"/>
    <col min="13314" max="13314" width="9.6640625" style="386" bestFit="1" customWidth="1"/>
    <col min="13315" max="13315" width="8" style="386"/>
    <col min="13316" max="13316" width="77.33203125" style="386" bestFit="1" customWidth="1"/>
    <col min="13317" max="13317" width="11" style="386" customWidth="1"/>
    <col min="13318" max="13318" width="10.6640625" style="386" customWidth="1"/>
    <col min="13319" max="13319" width="14.1640625" style="386" customWidth="1"/>
    <col min="13320" max="13320" width="13.5" style="386" customWidth="1"/>
    <col min="13321" max="13321" width="92.83203125" style="386" bestFit="1" customWidth="1"/>
    <col min="13322" max="13567" width="10.6640625" style="386" customWidth="1"/>
    <col min="13568" max="13568" width="9.6640625" style="386" bestFit="1" customWidth="1"/>
    <col min="13569" max="13569" width="8" style="386"/>
    <col min="13570" max="13570" width="9.6640625" style="386" bestFit="1" customWidth="1"/>
    <col min="13571" max="13571" width="8" style="386"/>
    <col min="13572" max="13572" width="77.33203125" style="386" bestFit="1" customWidth="1"/>
    <col min="13573" max="13573" width="11" style="386" customWidth="1"/>
    <col min="13574" max="13574" width="10.6640625" style="386" customWidth="1"/>
    <col min="13575" max="13575" width="14.1640625" style="386" customWidth="1"/>
    <col min="13576" max="13576" width="13.5" style="386" customWidth="1"/>
    <col min="13577" max="13577" width="92.83203125" style="386" bestFit="1" customWidth="1"/>
    <col min="13578" max="13823" width="10.6640625" style="386" customWidth="1"/>
    <col min="13824" max="13824" width="9.6640625" style="386" bestFit="1" customWidth="1"/>
    <col min="13825" max="13825" width="8" style="386"/>
    <col min="13826" max="13826" width="9.6640625" style="386" bestFit="1" customWidth="1"/>
    <col min="13827" max="13827" width="8" style="386"/>
    <col min="13828" max="13828" width="77.33203125" style="386" bestFit="1" customWidth="1"/>
    <col min="13829" max="13829" width="11" style="386" customWidth="1"/>
    <col min="13830" max="13830" width="10.6640625" style="386" customWidth="1"/>
    <col min="13831" max="13831" width="14.1640625" style="386" customWidth="1"/>
    <col min="13832" max="13832" width="13.5" style="386" customWidth="1"/>
    <col min="13833" max="13833" width="92.83203125" style="386" bestFit="1" customWidth="1"/>
    <col min="13834" max="14079" width="10.6640625" style="386" customWidth="1"/>
    <col min="14080" max="14080" width="9.6640625" style="386" bestFit="1" customWidth="1"/>
    <col min="14081" max="14081" width="8" style="386"/>
    <col min="14082" max="14082" width="9.6640625" style="386" bestFit="1" customWidth="1"/>
    <col min="14083" max="14083" width="8" style="386"/>
    <col min="14084" max="14084" width="77.33203125" style="386" bestFit="1" customWidth="1"/>
    <col min="14085" max="14085" width="11" style="386" customWidth="1"/>
    <col min="14086" max="14086" width="10.6640625" style="386" customWidth="1"/>
    <col min="14087" max="14087" width="14.1640625" style="386" customWidth="1"/>
    <col min="14088" max="14088" width="13.5" style="386" customWidth="1"/>
    <col min="14089" max="14089" width="92.83203125" style="386" bestFit="1" customWidth="1"/>
    <col min="14090" max="14335" width="10.6640625" style="386" customWidth="1"/>
    <col min="14336" max="14336" width="9.6640625" style="386" bestFit="1" customWidth="1"/>
    <col min="14337" max="14337" width="8" style="386"/>
    <col min="14338" max="14338" width="9.6640625" style="386" bestFit="1" customWidth="1"/>
    <col min="14339" max="14339" width="8" style="386"/>
    <col min="14340" max="14340" width="77.33203125" style="386" bestFit="1" customWidth="1"/>
    <col min="14341" max="14341" width="11" style="386" customWidth="1"/>
    <col min="14342" max="14342" width="10.6640625" style="386" customWidth="1"/>
    <col min="14343" max="14343" width="14.1640625" style="386" customWidth="1"/>
    <col min="14344" max="14344" width="13.5" style="386" customWidth="1"/>
    <col min="14345" max="14345" width="92.83203125" style="386" bestFit="1" customWidth="1"/>
    <col min="14346" max="14591" width="10.6640625" style="386" customWidth="1"/>
    <col min="14592" max="14592" width="9.6640625" style="386" bestFit="1" customWidth="1"/>
    <col min="14593" max="14593" width="8" style="386"/>
    <col min="14594" max="14594" width="9.6640625" style="386" bestFit="1" customWidth="1"/>
    <col min="14595" max="14595" width="8" style="386"/>
    <col min="14596" max="14596" width="77.33203125" style="386" bestFit="1" customWidth="1"/>
    <col min="14597" max="14597" width="11" style="386" customWidth="1"/>
    <col min="14598" max="14598" width="10.6640625" style="386" customWidth="1"/>
    <col min="14599" max="14599" width="14.1640625" style="386" customWidth="1"/>
    <col min="14600" max="14600" width="13.5" style="386" customWidth="1"/>
    <col min="14601" max="14601" width="92.83203125" style="386" bestFit="1" customWidth="1"/>
    <col min="14602" max="14847" width="10.6640625" style="386" customWidth="1"/>
    <col min="14848" max="14848" width="9.6640625" style="386" bestFit="1" customWidth="1"/>
    <col min="14849" max="14849" width="8" style="386"/>
    <col min="14850" max="14850" width="9.6640625" style="386" bestFit="1" customWidth="1"/>
    <col min="14851" max="14851" width="8" style="386"/>
    <col min="14852" max="14852" width="77.33203125" style="386" bestFit="1" customWidth="1"/>
    <col min="14853" max="14853" width="11" style="386" customWidth="1"/>
    <col min="14854" max="14854" width="10.6640625" style="386" customWidth="1"/>
    <col min="14855" max="14855" width="14.1640625" style="386" customWidth="1"/>
    <col min="14856" max="14856" width="13.5" style="386" customWidth="1"/>
    <col min="14857" max="14857" width="92.83203125" style="386" bestFit="1" customWidth="1"/>
    <col min="14858" max="15103" width="10.6640625" style="386" customWidth="1"/>
    <col min="15104" max="15104" width="9.6640625" style="386" bestFit="1" customWidth="1"/>
    <col min="15105" max="15105" width="8" style="386"/>
    <col min="15106" max="15106" width="9.6640625" style="386" bestFit="1" customWidth="1"/>
    <col min="15107" max="15107" width="8" style="386"/>
    <col min="15108" max="15108" width="77.33203125" style="386" bestFit="1" customWidth="1"/>
    <col min="15109" max="15109" width="11" style="386" customWidth="1"/>
    <col min="15110" max="15110" width="10.6640625" style="386" customWidth="1"/>
    <col min="15111" max="15111" width="14.1640625" style="386" customWidth="1"/>
    <col min="15112" max="15112" width="13.5" style="386" customWidth="1"/>
    <col min="15113" max="15113" width="92.83203125" style="386" bestFit="1" customWidth="1"/>
    <col min="15114" max="15359" width="10.6640625" style="386" customWidth="1"/>
    <col min="15360" max="15360" width="9.6640625" style="386" bestFit="1" customWidth="1"/>
    <col min="15361" max="15361" width="8" style="386"/>
    <col min="15362" max="15362" width="9.6640625" style="386" bestFit="1" customWidth="1"/>
    <col min="15363" max="15363" width="8" style="386"/>
    <col min="15364" max="15364" width="77.33203125" style="386" bestFit="1" customWidth="1"/>
    <col min="15365" max="15365" width="11" style="386" customWidth="1"/>
    <col min="15366" max="15366" width="10.6640625" style="386" customWidth="1"/>
    <col min="15367" max="15367" width="14.1640625" style="386" customWidth="1"/>
    <col min="15368" max="15368" width="13.5" style="386" customWidth="1"/>
    <col min="15369" max="15369" width="92.83203125" style="386" bestFit="1" customWidth="1"/>
    <col min="15370" max="15615" width="10.6640625" style="386" customWidth="1"/>
    <col min="15616" max="15616" width="9.6640625" style="386" bestFit="1" customWidth="1"/>
    <col min="15617" max="15617" width="8" style="386"/>
    <col min="15618" max="15618" width="9.6640625" style="386" bestFit="1" customWidth="1"/>
    <col min="15619" max="15619" width="8" style="386"/>
    <col min="15620" max="15620" width="77.33203125" style="386" bestFit="1" customWidth="1"/>
    <col min="15621" max="15621" width="11" style="386" customWidth="1"/>
    <col min="15622" max="15622" width="10.6640625" style="386" customWidth="1"/>
    <col min="15623" max="15623" width="14.1640625" style="386" customWidth="1"/>
    <col min="15624" max="15624" width="13.5" style="386" customWidth="1"/>
    <col min="15625" max="15625" width="92.83203125" style="386" bestFit="1" customWidth="1"/>
    <col min="15626" max="15871" width="10.6640625" style="386" customWidth="1"/>
    <col min="15872" max="15872" width="9.6640625" style="386" bestFit="1" customWidth="1"/>
    <col min="15873" max="15873" width="8" style="386"/>
    <col min="15874" max="15874" width="9.6640625" style="386" bestFit="1" customWidth="1"/>
    <col min="15875" max="15875" width="8" style="386"/>
    <col min="15876" max="15876" width="77.33203125" style="386" bestFit="1" customWidth="1"/>
    <col min="15877" max="15877" width="11" style="386" customWidth="1"/>
    <col min="15878" max="15878" width="10.6640625" style="386" customWidth="1"/>
    <col min="15879" max="15879" width="14.1640625" style="386" customWidth="1"/>
    <col min="15880" max="15880" width="13.5" style="386" customWidth="1"/>
    <col min="15881" max="15881" width="92.83203125" style="386" bestFit="1" customWidth="1"/>
    <col min="15882" max="16127" width="10.6640625" style="386" customWidth="1"/>
    <col min="16128" max="16128" width="9.6640625" style="386" bestFit="1" customWidth="1"/>
    <col min="16129" max="16129" width="8" style="386"/>
    <col min="16130" max="16130" width="9.6640625" style="386" bestFit="1" customWidth="1"/>
    <col min="16131" max="16131" width="8" style="386"/>
    <col min="16132" max="16132" width="77.33203125" style="386" bestFit="1" customWidth="1"/>
    <col min="16133" max="16133" width="11" style="386" customWidth="1"/>
    <col min="16134" max="16134" width="10.6640625" style="386" customWidth="1"/>
    <col min="16135" max="16135" width="14.1640625" style="386" customWidth="1"/>
    <col min="16136" max="16136" width="13.5" style="386" customWidth="1"/>
    <col min="16137" max="16137" width="92.83203125" style="386" bestFit="1" customWidth="1"/>
    <col min="16138" max="16384" width="10.6640625" style="386" customWidth="1"/>
  </cols>
  <sheetData>
    <row r="1" spans="1:11" s="321" customFormat="1" ht="16.5" thickTop="1">
      <c r="A1" s="315" t="s">
        <v>299</v>
      </c>
      <c r="B1" s="316"/>
      <c r="C1" s="317" t="s">
        <v>300</v>
      </c>
      <c r="D1" s="318"/>
      <c r="E1" s="318"/>
      <c r="F1" s="319"/>
      <c r="G1" s="319"/>
      <c r="H1" s="319"/>
      <c r="I1" s="320"/>
      <c r="K1" s="322"/>
    </row>
    <row r="2" spans="1:11" s="321" customFormat="1" ht="15.75">
      <c r="A2" s="323" t="s">
        <v>301</v>
      </c>
      <c r="B2" s="324"/>
      <c r="C2" s="325" t="s">
        <v>302</v>
      </c>
      <c r="D2" s="325"/>
      <c r="E2" s="326" t="s">
        <v>303</v>
      </c>
      <c r="F2" s="327" t="s">
        <v>304</v>
      </c>
      <c r="G2" s="327"/>
      <c r="H2" s="327"/>
      <c r="I2" s="328"/>
      <c r="K2" s="322"/>
    </row>
    <row r="3" spans="1:11" s="321" customFormat="1" ht="15.75">
      <c r="A3" s="323" t="s">
        <v>305</v>
      </c>
      <c r="B3" s="324"/>
      <c r="C3" s="325" t="s">
        <v>306</v>
      </c>
      <c r="D3" s="325"/>
      <c r="E3" s="326" t="s">
        <v>307</v>
      </c>
      <c r="F3" s="327"/>
      <c r="G3" s="327"/>
      <c r="H3" s="327"/>
      <c r="I3" s="328"/>
      <c r="K3" s="322"/>
    </row>
    <row r="4" spans="1:11" s="321" customFormat="1" ht="16.5" thickBot="1">
      <c r="A4" s="323" t="s">
        <v>308</v>
      </c>
      <c r="B4" s="324"/>
      <c r="C4" s="325" t="s">
        <v>309</v>
      </c>
      <c r="D4" s="325"/>
      <c r="E4" s="325"/>
      <c r="F4" s="327"/>
      <c r="G4" s="327"/>
      <c r="H4" s="327"/>
      <c r="I4" s="328"/>
      <c r="K4" s="322"/>
    </row>
    <row r="5" spans="1:11" s="321" customFormat="1" ht="70.5" customHeight="1" thickTop="1" thickBot="1">
      <c r="A5" s="329" t="s">
        <v>310</v>
      </c>
      <c r="B5" s="330" t="s">
        <v>311</v>
      </c>
      <c r="C5" s="331" t="s">
        <v>46</v>
      </c>
      <c r="D5" s="332" t="s">
        <v>312</v>
      </c>
      <c r="E5" s="330" t="s">
        <v>313</v>
      </c>
      <c r="F5" s="333" t="s">
        <v>314</v>
      </c>
      <c r="G5" s="333" t="s">
        <v>315</v>
      </c>
      <c r="H5" s="334" t="s">
        <v>316</v>
      </c>
      <c r="I5" s="335" t="s">
        <v>317</v>
      </c>
      <c r="K5" s="322"/>
    </row>
    <row r="6" spans="1:11" s="321" customFormat="1" ht="16.5" thickTop="1">
      <c r="A6" s="336" t="s">
        <v>318</v>
      </c>
      <c r="B6" s="337"/>
      <c r="C6" s="338" t="s">
        <v>319</v>
      </c>
      <c r="D6" s="339"/>
      <c r="E6" s="340"/>
      <c r="F6" s="341"/>
      <c r="G6" s="342"/>
      <c r="H6" s="343"/>
      <c r="I6" s="344"/>
      <c r="K6" s="322"/>
    </row>
    <row r="7" spans="1:11" s="321" customFormat="1" ht="47.25">
      <c r="A7" s="345" t="s">
        <v>320</v>
      </c>
      <c r="B7" s="346" t="s">
        <v>321</v>
      </c>
      <c r="C7" s="347" t="s">
        <v>322</v>
      </c>
      <c r="D7" s="337">
        <v>1</v>
      </c>
      <c r="E7" s="337" t="s">
        <v>126</v>
      </c>
      <c r="F7" s="341"/>
      <c r="G7" s="342"/>
      <c r="H7" s="343">
        <f>D7*(F7+G7)</f>
        <v>0</v>
      </c>
      <c r="I7" s="348" t="s">
        <v>323</v>
      </c>
      <c r="K7" s="322"/>
    </row>
    <row r="8" spans="1:11" s="321" customFormat="1" ht="47.25">
      <c r="A8" s="345" t="s">
        <v>324</v>
      </c>
      <c r="B8" s="346" t="s">
        <v>325</v>
      </c>
      <c r="C8" s="347" t="s">
        <v>326</v>
      </c>
      <c r="D8" s="337">
        <v>1</v>
      </c>
      <c r="E8" s="337" t="s">
        <v>126</v>
      </c>
      <c r="F8" s="341"/>
      <c r="G8" s="342"/>
      <c r="H8" s="343">
        <f>D8*(F8+G8)</f>
        <v>0</v>
      </c>
      <c r="I8" s="348" t="s">
        <v>327</v>
      </c>
      <c r="K8" s="322"/>
    </row>
    <row r="9" spans="1:11" s="321" customFormat="1" ht="31.5">
      <c r="A9" s="345" t="s">
        <v>328</v>
      </c>
      <c r="B9" s="346" t="s">
        <v>329</v>
      </c>
      <c r="C9" s="347" t="s">
        <v>330</v>
      </c>
      <c r="D9" s="337">
        <v>2</v>
      </c>
      <c r="E9" s="337" t="s">
        <v>126</v>
      </c>
      <c r="F9" s="341"/>
      <c r="G9" s="342"/>
      <c r="H9" s="343">
        <f>D9*(F9+G9)</f>
        <v>0</v>
      </c>
      <c r="I9" s="348" t="s">
        <v>331</v>
      </c>
      <c r="K9" s="322"/>
    </row>
    <row r="10" spans="1:11" s="321" customFormat="1" ht="15.75">
      <c r="A10" s="345"/>
      <c r="B10" s="346"/>
      <c r="C10" s="347"/>
      <c r="D10" s="337"/>
      <c r="E10" s="337"/>
      <c r="F10" s="341"/>
      <c r="G10" s="342"/>
      <c r="H10" s="343"/>
      <c r="I10" s="348"/>
      <c r="K10" s="322"/>
    </row>
    <row r="11" spans="1:11" s="321" customFormat="1" ht="15.75">
      <c r="A11" s="336" t="s">
        <v>318</v>
      </c>
      <c r="B11" s="337"/>
      <c r="C11" s="338" t="s">
        <v>332</v>
      </c>
      <c r="D11" s="337"/>
      <c r="E11" s="337"/>
      <c r="F11" s="341"/>
      <c r="G11" s="342"/>
      <c r="H11" s="343"/>
      <c r="I11" s="348"/>
      <c r="K11" s="322"/>
    </row>
    <row r="12" spans="1:11" s="321" customFormat="1" ht="85.5" customHeight="1">
      <c r="A12" s="345" t="s">
        <v>320</v>
      </c>
      <c r="B12" s="346" t="s">
        <v>333</v>
      </c>
      <c r="C12" s="349" t="s">
        <v>334</v>
      </c>
      <c r="D12" s="337">
        <v>1</v>
      </c>
      <c r="E12" s="337" t="s">
        <v>126</v>
      </c>
      <c r="F12" s="341"/>
      <c r="G12" s="342"/>
      <c r="H12" s="343">
        <f t="shared" ref="H12:H107" si="0">D12*(F12+G12)</f>
        <v>0</v>
      </c>
      <c r="I12" s="348" t="s">
        <v>335</v>
      </c>
      <c r="K12" s="322"/>
    </row>
    <row r="13" spans="1:11" s="321" customFormat="1" ht="31.5">
      <c r="A13" s="345" t="s">
        <v>324</v>
      </c>
      <c r="B13" s="346" t="s">
        <v>336</v>
      </c>
      <c r="C13" s="349" t="s">
        <v>337</v>
      </c>
      <c r="D13" s="337">
        <v>1</v>
      </c>
      <c r="E13" s="337" t="s">
        <v>126</v>
      </c>
      <c r="F13" s="341"/>
      <c r="G13" s="342"/>
      <c r="H13" s="343">
        <f t="shared" si="0"/>
        <v>0</v>
      </c>
      <c r="I13" s="348" t="s">
        <v>338</v>
      </c>
      <c r="K13" s="322"/>
    </row>
    <row r="14" spans="1:11" s="321" customFormat="1" ht="15.75">
      <c r="A14" s="345" t="s">
        <v>328</v>
      </c>
      <c r="B14" s="346" t="s">
        <v>336</v>
      </c>
      <c r="C14" s="350" t="s">
        <v>337</v>
      </c>
      <c r="D14" s="337">
        <v>1</v>
      </c>
      <c r="E14" s="337" t="s">
        <v>126</v>
      </c>
      <c r="F14" s="341"/>
      <c r="G14" s="342"/>
      <c r="H14" s="343">
        <f t="shared" si="0"/>
        <v>0</v>
      </c>
      <c r="I14" s="348" t="s">
        <v>339</v>
      </c>
      <c r="K14" s="322"/>
    </row>
    <row r="15" spans="1:11" s="321" customFormat="1" ht="31.5">
      <c r="A15" s="345" t="s">
        <v>340</v>
      </c>
      <c r="B15" s="346" t="s">
        <v>341</v>
      </c>
      <c r="C15" s="349" t="s">
        <v>342</v>
      </c>
      <c r="D15" s="337">
        <v>1</v>
      </c>
      <c r="E15" s="337" t="s">
        <v>126</v>
      </c>
      <c r="F15" s="341"/>
      <c r="G15" s="342"/>
      <c r="H15" s="343">
        <f t="shared" si="0"/>
        <v>0</v>
      </c>
      <c r="I15" s="348" t="s">
        <v>343</v>
      </c>
      <c r="K15" s="322"/>
    </row>
    <row r="16" spans="1:11" s="321" customFormat="1" ht="15.75">
      <c r="A16" s="345"/>
      <c r="B16" s="346"/>
      <c r="C16" s="350"/>
      <c r="D16" s="337"/>
      <c r="E16" s="337"/>
      <c r="F16" s="341"/>
      <c r="G16" s="342"/>
      <c r="H16" s="343"/>
      <c r="I16" s="348"/>
      <c r="K16" s="322"/>
    </row>
    <row r="17" spans="1:11" s="321" customFormat="1" ht="15.75">
      <c r="A17" s="336" t="s">
        <v>318</v>
      </c>
      <c r="B17" s="337"/>
      <c r="C17" s="338" t="s">
        <v>344</v>
      </c>
      <c r="D17" s="337"/>
      <c r="E17" s="337"/>
      <c r="F17" s="341"/>
      <c r="G17" s="342"/>
      <c r="H17" s="343"/>
      <c r="I17" s="348"/>
      <c r="K17" s="322"/>
    </row>
    <row r="18" spans="1:11" s="321" customFormat="1" ht="15.75">
      <c r="A18" s="345" t="s">
        <v>320</v>
      </c>
      <c r="B18" s="346"/>
      <c r="C18" s="350" t="s">
        <v>345</v>
      </c>
      <c r="D18" s="337">
        <v>2</v>
      </c>
      <c r="E18" s="337" t="s">
        <v>126</v>
      </c>
      <c r="F18" s="341"/>
      <c r="G18" s="342"/>
      <c r="H18" s="343">
        <f t="shared" si="0"/>
        <v>0</v>
      </c>
      <c r="I18" s="348" t="s">
        <v>346</v>
      </c>
      <c r="K18" s="322"/>
    </row>
    <row r="19" spans="1:11" s="321" customFormat="1" ht="15.75">
      <c r="A19" s="345" t="s">
        <v>324</v>
      </c>
      <c r="B19" s="346"/>
      <c r="C19" s="350" t="s">
        <v>347</v>
      </c>
      <c r="D19" s="337">
        <v>2</v>
      </c>
      <c r="E19" s="337" t="s">
        <v>126</v>
      </c>
      <c r="F19" s="341"/>
      <c r="G19" s="342"/>
      <c r="H19" s="343">
        <f>D19*(F19+G19)</f>
        <v>0</v>
      </c>
      <c r="I19" s="348" t="s">
        <v>348</v>
      </c>
      <c r="K19" s="322"/>
    </row>
    <row r="20" spans="1:11" s="321" customFormat="1" ht="15.75">
      <c r="A20" s="345" t="s">
        <v>328</v>
      </c>
      <c r="B20" s="346"/>
      <c r="C20" s="350" t="s">
        <v>349</v>
      </c>
      <c r="D20" s="337">
        <v>2</v>
      </c>
      <c r="E20" s="337" t="s">
        <v>126</v>
      </c>
      <c r="F20" s="341"/>
      <c r="G20" s="342"/>
      <c r="H20" s="343">
        <f>D20*(F20+G20)</f>
        <v>0</v>
      </c>
      <c r="I20" s="351" t="s">
        <v>349</v>
      </c>
      <c r="K20" s="322"/>
    </row>
    <row r="21" spans="1:11" s="321" customFormat="1" ht="15.75">
      <c r="A21" s="345" t="s">
        <v>340</v>
      </c>
      <c r="B21" s="346"/>
      <c r="C21" s="350" t="s">
        <v>350</v>
      </c>
      <c r="D21" s="337">
        <v>2</v>
      </c>
      <c r="E21" s="337" t="s">
        <v>126</v>
      </c>
      <c r="F21" s="341"/>
      <c r="G21" s="342"/>
      <c r="H21" s="343">
        <f>D21*(F21+G21)</f>
        <v>0</v>
      </c>
      <c r="I21" s="351" t="s">
        <v>350</v>
      </c>
      <c r="K21" s="322"/>
    </row>
    <row r="22" spans="1:11" s="321" customFormat="1" ht="15.75">
      <c r="A22" s="345" t="s">
        <v>351</v>
      </c>
      <c r="B22" s="346"/>
      <c r="C22" s="350" t="s">
        <v>352</v>
      </c>
      <c r="D22" s="337">
        <v>2</v>
      </c>
      <c r="E22" s="337" t="s">
        <v>126</v>
      </c>
      <c r="F22" s="341"/>
      <c r="G22" s="342"/>
      <c r="H22" s="343">
        <f>D22*(F22+G22)</f>
        <v>0</v>
      </c>
      <c r="I22" s="351" t="s">
        <v>353</v>
      </c>
      <c r="K22" s="322"/>
    </row>
    <row r="23" spans="1:11" s="321" customFormat="1" ht="15.75">
      <c r="A23" s="345"/>
      <c r="B23" s="346"/>
      <c r="C23" s="350"/>
      <c r="D23" s="337"/>
      <c r="E23" s="337"/>
      <c r="F23" s="341"/>
      <c r="G23" s="342"/>
      <c r="H23" s="343"/>
      <c r="I23" s="348"/>
      <c r="K23" s="322"/>
    </row>
    <row r="24" spans="1:11" s="321" customFormat="1" ht="15.75">
      <c r="A24" s="336" t="s">
        <v>318</v>
      </c>
      <c r="B24" s="337"/>
      <c r="C24" s="352" t="s">
        <v>354</v>
      </c>
      <c r="D24" s="337"/>
      <c r="E24" s="337"/>
      <c r="F24" s="341"/>
      <c r="G24" s="342"/>
      <c r="H24" s="343"/>
      <c r="I24" s="348"/>
      <c r="K24" s="322"/>
    </row>
    <row r="25" spans="1:11" s="321" customFormat="1" ht="63">
      <c r="A25" s="345" t="s">
        <v>320</v>
      </c>
      <c r="B25" s="346" t="s">
        <v>355</v>
      </c>
      <c r="C25" s="349" t="s">
        <v>356</v>
      </c>
      <c r="D25" s="337">
        <v>2</v>
      </c>
      <c r="E25" s="337" t="s">
        <v>126</v>
      </c>
      <c r="F25" s="341"/>
      <c r="G25" s="342"/>
      <c r="H25" s="343">
        <f t="shared" si="0"/>
        <v>0</v>
      </c>
      <c r="I25" s="348" t="s">
        <v>357</v>
      </c>
      <c r="K25" s="322"/>
    </row>
    <row r="26" spans="1:11" s="321" customFormat="1" ht="63">
      <c r="A26" s="345" t="s">
        <v>324</v>
      </c>
      <c r="B26" s="346" t="s">
        <v>358</v>
      </c>
      <c r="C26" s="349" t="s">
        <v>359</v>
      </c>
      <c r="D26" s="337">
        <v>2</v>
      </c>
      <c r="E26" s="337" t="s">
        <v>126</v>
      </c>
      <c r="F26" s="341"/>
      <c r="G26" s="342"/>
      <c r="H26" s="343">
        <f>D26*(F26+G26)</f>
        <v>0</v>
      </c>
      <c r="I26" s="348" t="s">
        <v>360</v>
      </c>
      <c r="K26" s="322"/>
    </row>
    <row r="27" spans="1:11" s="321" customFormat="1" ht="47.25">
      <c r="A27" s="345" t="s">
        <v>328</v>
      </c>
      <c r="B27" s="346" t="s">
        <v>361</v>
      </c>
      <c r="C27" s="349" t="s">
        <v>362</v>
      </c>
      <c r="D27" s="337">
        <v>1</v>
      </c>
      <c r="E27" s="337" t="s">
        <v>126</v>
      </c>
      <c r="F27" s="341"/>
      <c r="G27" s="342"/>
      <c r="H27" s="343">
        <f t="shared" ref="H27" si="1">D27*(F27+G27)</f>
        <v>0</v>
      </c>
      <c r="I27" s="348" t="s">
        <v>363</v>
      </c>
      <c r="K27" s="322"/>
    </row>
    <row r="28" spans="1:11" s="321" customFormat="1" ht="31.5">
      <c r="A28" s="345" t="s">
        <v>340</v>
      </c>
      <c r="B28" s="337" t="s">
        <v>364</v>
      </c>
      <c r="C28" s="349" t="s">
        <v>365</v>
      </c>
      <c r="D28" s="337">
        <v>1</v>
      </c>
      <c r="E28" s="337" t="s">
        <v>126</v>
      </c>
      <c r="F28" s="341"/>
      <c r="G28" s="342"/>
      <c r="H28" s="343">
        <f t="shared" si="0"/>
        <v>0</v>
      </c>
      <c r="I28" s="348" t="s">
        <v>366</v>
      </c>
      <c r="K28" s="322"/>
    </row>
    <row r="29" spans="1:11" s="321" customFormat="1" ht="15.75">
      <c r="A29" s="345" t="s">
        <v>351</v>
      </c>
      <c r="B29" s="337"/>
      <c r="C29" s="349" t="s">
        <v>367</v>
      </c>
      <c r="D29" s="337">
        <v>2</v>
      </c>
      <c r="E29" s="337" t="s">
        <v>126</v>
      </c>
      <c r="F29" s="341"/>
      <c r="G29" s="342"/>
      <c r="H29" s="343">
        <f t="shared" si="0"/>
        <v>0</v>
      </c>
      <c r="I29" s="348" t="s">
        <v>368</v>
      </c>
      <c r="K29" s="322"/>
    </row>
    <row r="30" spans="1:11" s="321" customFormat="1" ht="31.5">
      <c r="A30" s="345" t="s">
        <v>369</v>
      </c>
      <c r="B30" s="337" t="s">
        <v>370</v>
      </c>
      <c r="C30" s="349" t="s">
        <v>371</v>
      </c>
      <c r="D30" s="337">
        <v>3</v>
      </c>
      <c r="E30" s="337" t="s">
        <v>126</v>
      </c>
      <c r="F30" s="341"/>
      <c r="G30" s="342"/>
      <c r="H30" s="343">
        <f t="shared" si="0"/>
        <v>0</v>
      </c>
      <c r="I30" s="348" t="s">
        <v>372</v>
      </c>
      <c r="K30" s="322"/>
    </row>
    <row r="31" spans="1:11" s="321" customFormat="1" ht="15.75">
      <c r="A31" s="345" t="s">
        <v>373</v>
      </c>
      <c r="B31" s="337" t="s">
        <v>374</v>
      </c>
      <c r="C31" s="349" t="s">
        <v>375</v>
      </c>
      <c r="D31" s="337">
        <v>1</v>
      </c>
      <c r="E31" s="337" t="s">
        <v>126</v>
      </c>
      <c r="F31" s="341"/>
      <c r="G31" s="342"/>
      <c r="H31" s="343">
        <f t="shared" si="0"/>
        <v>0</v>
      </c>
      <c r="I31" s="348" t="s">
        <v>376</v>
      </c>
      <c r="K31" s="322"/>
    </row>
    <row r="32" spans="1:11" s="321" customFormat="1" ht="49.5" customHeight="1">
      <c r="A32" s="345" t="s">
        <v>377</v>
      </c>
      <c r="B32" s="337" t="s">
        <v>378</v>
      </c>
      <c r="C32" s="353" t="s">
        <v>379</v>
      </c>
      <c r="D32" s="337">
        <v>1</v>
      </c>
      <c r="E32" s="337" t="s">
        <v>126</v>
      </c>
      <c r="F32" s="341"/>
      <c r="G32" s="342"/>
      <c r="H32" s="343">
        <f t="shared" si="0"/>
        <v>0</v>
      </c>
      <c r="I32" s="354" t="s">
        <v>380</v>
      </c>
      <c r="K32" s="322"/>
    </row>
    <row r="33" spans="1:11" s="321" customFormat="1" ht="49.5" customHeight="1">
      <c r="A33" s="345" t="s">
        <v>381</v>
      </c>
      <c r="B33" s="337" t="s">
        <v>382</v>
      </c>
      <c r="C33" s="353" t="s">
        <v>383</v>
      </c>
      <c r="D33" s="337">
        <v>2</v>
      </c>
      <c r="E33" s="337" t="s">
        <v>126</v>
      </c>
      <c r="F33" s="341"/>
      <c r="G33" s="342"/>
      <c r="H33" s="343">
        <f t="shared" si="0"/>
        <v>0</v>
      </c>
      <c r="I33" s="354" t="s">
        <v>384</v>
      </c>
      <c r="K33" s="322"/>
    </row>
    <row r="34" spans="1:11" s="321" customFormat="1" ht="15.75">
      <c r="A34" s="345" t="s">
        <v>385</v>
      </c>
      <c r="B34" s="346" t="s">
        <v>386</v>
      </c>
      <c r="C34" s="349" t="s">
        <v>387</v>
      </c>
      <c r="D34" s="337">
        <v>1</v>
      </c>
      <c r="E34" s="337" t="s">
        <v>126</v>
      </c>
      <c r="F34" s="341"/>
      <c r="G34" s="342"/>
      <c r="H34" s="343">
        <f t="shared" si="0"/>
        <v>0</v>
      </c>
      <c r="I34" s="348" t="s">
        <v>388</v>
      </c>
      <c r="K34" s="322"/>
    </row>
    <row r="35" spans="1:11" s="321" customFormat="1" ht="15.75">
      <c r="A35" s="345" t="s">
        <v>389</v>
      </c>
      <c r="B35" s="337" t="s">
        <v>390</v>
      </c>
      <c r="C35" s="349" t="s">
        <v>391</v>
      </c>
      <c r="D35" s="337">
        <v>2</v>
      </c>
      <c r="E35" s="337" t="s">
        <v>126</v>
      </c>
      <c r="F35" s="341"/>
      <c r="G35" s="342"/>
      <c r="H35" s="343">
        <f t="shared" si="0"/>
        <v>0</v>
      </c>
      <c r="I35" s="348" t="s">
        <v>392</v>
      </c>
      <c r="K35" s="322"/>
    </row>
    <row r="36" spans="1:11" s="321" customFormat="1" ht="31.5">
      <c r="A36" s="345" t="s">
        <v>393</v>
      </c>
      <c r="B36" s="337" t="s">
        <v>394</v>
      </c>
      <c r="C36" s="349" t="s">
        <v>395</v>
      </c>
      <c r="D36" s="337">
        <v>1</v>
      </c>
      <c r="E36" s="337" t="s">
        <v>126</v>
      </c>
      <c r="F36" s="341"/>
      <c r="G36" s="342"/>
      <c r="H36" s="343">
        <f t="shared" si="0"/>
        <v>0</v>
      </c>
      <c r="I36" s="348" t="s">
        <v>396</v>
      </c>
      <c r="K36" s="322"/>
    </row>
    <row r="37" spans="1:11" s="321" customFormat="1" ht="31.5">
      <c r="A37" s="345" t="s">
        <v>397</v>
      </c>
      <c r="B37" s="337" t="s">
        <v>398</v>
      </c>
      <c r="C37" s="349" t="s">
        <v>399</v>
      </c>
      <c r="D37" s="337">
        <v>1</v>
      </c>
      <c r="E37" s="337" t="s">
        <v>126</v>
      </c>
      <c r="F37" s="341"/>
      <c r="G37" s="342"/>
      <c r="H37" s="343">
        <f t="shared" si="0"/>
        <v>0</v>
      </c>
      <c r="I37" s="348" t="s">
        <v>400</v>
      </c>
      <c r="K37" s="322"/>
    </row>
    <row r="38" spans="1:11" s="321" customFormat="1" ht="15.75">
      <c r="A38" s="345" t="s">
        <v>401</v>
      </c>
      <c r="B38" s="337" t="s">
        <v>402</v>
      </c>
      <c r="C38" s="349" t="s">
        <v>403</v>
      </c>
      <c r="D38" s="337">
        <v>2</v>
      </c>
      <c r="E38" s="337" t="s">
        <v>126</v>
      </c>
      <c r="F38" s="341"/>
      <c r="G38" s="342"/>
      <c r="H38" s="343">
        <f t="shared" si="0"/>
        <v>0</v>
      </c>
      <c r="I38" s="348" t="s">
        <v>404</v>
      </c>
      <c r="K38" s="322"/>
    </row>
    <row r="39" spans="1:11" s="321" customFormat="1" ht="15.75">
      <c r="A39" s="345" t="s">
        <v>405</v>
      </c>
      <c r="B39" s="337"/>
      <c r="C39" s="349" t="s">
        <v>406</v>
      </c>
      <c r="D39" s="337">
        <v>2</v>
      </c>
      <c r="E39" s="337" t="s">
        <v>126</v>
      </c>
      <c r="F39" s="341"/>
      <c r="G39" s="342"/>
      <c r="H39" s="343">
        <f t="shared" si="0"/>
        <v>0</v>
      </c>
      <c r="I39" s="348" t="s">
        <v>407</v>
      </c>
      <c r="K39" s="322"/>
    </row>
    <row r="40" spans="1:11" s="321" customFormat="1" ht="15.75">
      <c r="A40" s="345"/>
      <c r="B40" s="337"/>
      <c r="C40" s="349"/>
      <c r="D40" s="337"/>
      <c r="E40" s="337"/>
      <c r="F40" s="341"/>
      <c r="G40" s="342"/>
      <c r="H40" s="343"/>
      <c r="I40" s="348"/>
      <c r="K40" s="322"/>
    </row>
    <row r="41" spans="1:11" s="321" customFormat="1" ht="15.75">
      <c r="A41" s="336" t="s">
        <v>318</v>
      </c>
      <c r="B41" s="337"/>
      <c r="C41" s="352" t="s">
        <v>408</v>
      </c>
      <c r="D41" s="337"/>
      <c r="E41" s="337"/>
      <c r="F41" s="341"/>
      <c r="G41" s="342"/>
      <c r="H41" s="343"/>
      <c r="I41" s="348"/>
      <c r="K41" s="322"/>
    </row>
    <row r="42" spans="1:11" s="321" customFormat="1" ht="33.75" customHeight="1">
      <c r="A42" s="345" t="s">
        <v>320</v>
      </c>
      <c r="B42" s="346"/>
      <c r="C42" s="349" t="s">
        <v>409</v>
      </c>
      <c r="D42" s="337">
        <v>1</v>
      </c>
      <c r="E42" s="337" t="s">
        <v>126</v>
      </c>
      <c r="F42" s="341"/>
      <c r="G42" s="342"/>
      <c r="H42" s="343">
        <f>D42*(F42+G42)</f>
        <v>0</v>
      </c>
      <c r="I42" s="348" t="s">
        <v>410</v>
      </c>
      <c r="K42" s="322"/>
    </row>
    <row r="43" spans="1:11" s="321" customFormat="1" ht="15.75">
      <c r="A43" s="345" t="s">
        <v>324</v>
      </c>
      <c r="B43" s="337"/>
      <c r="C43" s="353" t="s">
        <v>411</v>
      </c>
      <c r="D43" s="337">
        <v>5</v>
      </c>
      <c r="E43" s="355" t="s">
        <v>126</v>
      </c>
      <c r="F43" s="341"/>
      <c r="G43" s="342"/>
      <c r="H43" s="343">
        <f t="shared" ref="H43:H45" si="2">D43*(F43+G43)</f>
        <v>0</v>
      </c>
      <c r="I43" s="356" t="s">
        <v>411</v>
      </c>
      <c r="K43" s="322"/>
    </row>
    <row r="44" spans="1:11" s="321" customFormat="1" ht="15.75">
      <c r="A44" s="345" t="s">
        <v>328</v>
      </c>
      <c r="B44" s="337"/>
      <c r="C44" s="353" t="s">
        <v>412</v>
      </c>
      <c r="D44" s="337">
        <v>2</v>
      </c>
      <c r="E44" s="355" t="s">
        <v>126</v>
      </c>
      <c r="F44" s="341"/>
      <c r="G44" s="342"/>
      <c r="H44" s="343">
        <f t="shared" si="2"/>
        <v>0</v>
      </c>
      <c r="I44" s="354" t="s">
        <v>413</v>
      </c>
      <c r="K44" s="322"/>
    </row>
    <row r="45" spans="1:11" s="321" customFormat="1" ht="15.75">
      <c r="A45" s="345" t="s">
        <v>340</v>
      </c>
      <c r="B45" s="337"/>
      <c r="C45" s="353" t="s">
        <v>414</v>
      </c>
      <c r="D45" s="337">
        <v>4</v>
      </c>
      <c r="E45" s="355" t="s">
        <v>126</v>
      </c>
      <c r="F45" s="341"/>
      <c r="G45" s="342"/>
      <c r="H45" s="343">
        <f t="shared" si="2"/>
        <v>0</v>
      </c>
      <c r="I45" s="356" t="s">
        <v>415</v>
      </c>
      <c r="K45" s="322"/>
    </row>
    <row r="46" spans="1:11" s="321" customFormat="1" ht="15.75">
      <c r="A46" s="345"/>
      <c r="B46" s="337"/>
      <c r="C46" s="353"/>
      <c r="D46" s="337"/>
      <c r="E46" s="355"/>
      <c r="F46" s="341"/>
      <c r="G46" s="342"/>
      <c r="H46" s="343"/>
      <c r="I46" s="357"/>
      <c r="K46" s="322"/>
    </row>
    <row r="47" spans="1:11" s="321" customFormat="1" ht="15.75">
      <c r="A47" s="336" t="s">
        <v>318</v>
      </c>
      <c r="B47" s="337"/>
      <c r="C47" s="338" t="s">
        <v>416</v>
      </c>
      <c r="D47" s="337"/>
      <c r="E47" s="337"/>
      <c r="F47" s="341"/>
      <c r="G47" s="342"/>
      <c r="H47" s="343"/>
      <c r="I47" s="348"/>
      <c r="K47" s="322"/>
    </row>
    <row r="48" spans="1:11" s="321" customFormat="1" ht="31.5">
      <c r="A48" s="345" t="s">
        <v>320</v>
      </c>
      <c r="B48" s="337"/>
      <c r="C48" s="353" t="s">
        <v>417</v>
      </c>
      <c r="D48" s="337">
        <v>1</v>
      </c>
      <c r="E48" s="337" t="s">
        <v>64</v>
      </c>
      <c r="F48" s="341"/>
      <c r="G48" s="342"/>
      <c r="H48" s="343">
        <f t="shared" ref="H48" si="3">D48*(F48+G48)</f>
        <v>0</v>
      </c>
      <c r="I48" s="354" t="s">
        <v>417</v>
      </c>
      <c r="K48" s="322"/>
    </row>
    <row r="49" spans="1:20" s="321" customFormat="1" ht="15.75">
      <c r="A49" s="345" t="s">
        <v>324</v>
      </c>
      <c r="B49" s="337"/>
      <c r="C49" s="353" t="s">
        <v>418</v>
      </c>
      <c r="D49" s="337">
        <v>1</v>
      </c>
      <c r="E49" s="337" t="s">
        <v>64</v>
      </c>
      <c r="F49" s="341"/>
      <c r="G49" s="342"/>
      <c r="H49" s="343">
        <f t="shared" si="0"/>
        <v>0</v>
      </c>
      <c r="I49" s="354" t="s">
        <v>418</v>
      </c>
      <c r="K49" s="322"/>
    </row>
    <row r="50" spans="1:20" s="321" customFormat="1" ht="31.5">
      <c r="A50" s="345" t="s">
        <v>328</v>
      </c>
      <c r="B50" s="337"/>
      <c r="C50" s="358" t="s">
        <v>419</v>
      </c>
      <c r="D50" s="337">
        <v>1</v>
      </c>
      <c r="E50" s="337" t="s">
        <v>64</v>
      </c>
      <c r="F50" s="341"/>
      <c r="G50" s="342"/>
      <c r="H50" s="343">
        <f t="shared" si="0"/>
        <v>0</v>
      </c>
      <c r="I50" s="348" t="s">
        <v>420</v>
      </c>
      <c r="K50" s="322"/>
    </row>
    <row r="51" spans="1:20" s="321" customFormat="1" ht="15.75">
      <c r="A51" s="345" t="s">
        <v>340</v>
      </c>
      <c r="B51" s="337"/>
      <c r="C51" s="358" t="s">
        <v>421</v>
      </c>
      <c r="D51" s="337">
        <v>1</v>
      </c>
      <c r="E51" s="337" t="s">
        <v>64</v>
      </c>
      <c r="F51" s="341"/>
      <c r="G51" s="342"/>
      <c r="H51" s="343">
        <f t="shared" si="0"/>
        <v>0</v>
      </c>
      <c r="I51" s="348" t="s">
        <v>421</v>
      </c>
      <c r="K51" s="322"/>
    </row>
    <row r="52" spans="1:20" s="321" customFormat="1" ht="15.75">
      <c r="A52" s="345" t="s">
        <v>351</v>
      </c>
      <c r="B52" s="337"/>
      <c r="C52" s="347" t="s">
        <v>422</v>
      </c>
      <c r="D52" s="337">
        <v>1</v>
      </c>
      <c r="E52" s="337" t="s">
        <v>64</v>
      </c>
      <c r="F52" s="341"/>
      <c r="G52" s="342"/>
      <c r="H52" s="343">
        <f t="shared" si="0"/>
        <v>0</v>
      </c>
      <c r="I52" s="348" t="s">
        <v>422</v>
      </c>
      <c r="K52" s="322"/>
    </row>
    <row r="53" spans="1:20" s="321" customFormat="1" ht="47.25">
      <c r="A53" s="345" t="s">
        <v>369</v>
      </c>
      <c r="B53" s="337"/>
      <c r="C53" s="359" t="s">
        <v>423</v>
      </c>
      <c r="D53" s="337">
        <v>1</v>
      </c>
      <c r="E53" s="337" t="s">
        <v>64</v>
      </c>
      <c r="F53" s="341"/>
      <c r="G53" s="342"/>
      <c r="H53" s="343">
        <f t="shared" si="0"/>
        <v>0</v>
      </c>
      <c r="I53" s="348" t="s">
        <v>423</v>
      </c>
      <c r="K53" s="322"/>
    </row>
    <row r="54" spans="1:20" s="321" customFormat="1" ht="31.5">
      <c r="A54" s="345" t="s">
        <v>373</v>
      </c>
      <c r="B54" s="337"/>
      <c r="C54" s="359" t="s">
        <v>424</v>
      </c>
      <c r="D54" s="337">
        <v>1</v>
      </c>
      <c r="E54" s="337" t="s">
        <v>64</v>
      </c>
      <c r="F54" s="341"/>
      <c r="G54" s="342"/>
      <c r="H54" s="343">
        <f t="shared" si="0"/>
        <v>0</v>
      </c>
      <c r="I54" s="348" t="s">
        <v>425</v>
      </c>
      <c r="K54" s="322"/>
    </row>
    <row r="55" spans="1:20" s="321" customFormat="1" ht="15.75">
      <c r="A55" s="345"/>
      <c r="B55" s="337"/>
      <c r="C55" s="350"/>
      <c r="D55" s="360"/>
      <c r="E55" s="355"/>
      <c r="F55" s="341"/>
      <c r="G55" s="342"/>
      <c r="H55" s="343"/>
      <c r="I55" s="348"/>
      <c r="K55" s="322"/>
    </row>
    <row r="56" spans="1:20" s="321" customFormat="1" ht="15.75">
      <c r="A56" s="336" t="s">
        <v>318</v>
      </c>
      <c r="B56" s="337"/>
      <c r="C56" s="338" t="s">
        <v>426</v>
      </c>
      <c r="D56" s="337"/>
      <c r="E56" s="337"/>
      <c r="F56" s="341"/>
      <c r="G56" s="342"/>
      <c r="H56" s="343"/>
      <c r="I56" s="348"/>
      <c r="K56" s="322"/>
    </row>
    <row r="57" spans="1:20" s="321" customFormat="1" ht="15.75">
      <c r="A57" s="345" t="s">
        <v>320</v>
      </c>
      <c r="B57" s="337"/>
      <c r="C57" s="350" t="s">
        <v>427</v>
      </c>
      <c r="D57" s="361">
        <v>125</v>
      </c>
      <c r="E57" s="337" t="s">
        <v>7</v>
      </c>
      <c r="F57" s="341"/>
      <c r="G57" s="341"/>
      <c r="H57" s="343">
        <f t="shared" si="0"/>
        <v>0</v>
      </c>
      <c r="I57" s="356" t="s">
        <v>428</v>
      </c>
      <c r="K57" s="322"/>
      <c r="L57" s="362"/>
      <c r="M57" s="362"/>
      <c r="N57" s="362"/>
      <c r="O57" s="362"/>
      <c r="P57" s="362"/>
      <c r="Q57" s="362"/>
      <c r="R57" s="362"/>
      <c r="S57" s="362"/>
      <c r="T57" s="362"/>
    </row>
    <row r="58" spans="1:20" s="321" customFormat="1" ht="15.75">
      <c r="A58" s="345" t="s">
        <v>324</v>
      </c>
      <c r="B58" s="337"/>
      <c r="C58" s="350" t="s">
        <v>429</v>
      </c>
      <c r="D58" s="361">
        <v>310</v>
      </c>
      <c r="E58" s="337" t="s">
        <v>7</v>
      </c>
      <c r="F58" s="341"/>
      <c r="G58" s="341"/>
      <c r="H58" s="343">
        <f t="shared" si="0"/>
        <v>0</v>
      </c>
      <c r="I58" s="356" t="s">
        <v>428</v>
      </c>
      <c r="K58" s="322"/>
      <c r="L58" s="362"/>
      <c r="M58" s="362"/>
      <c r="N58" s="362"/>
      <c r="O58" s="362"/>
      <c r="P58" s="362"/>
      <c r="Q58" s="362"/>
      <c r="R58" s="362"/>
      <c r="S58" s="362"/>
      <c r="T58" s="362"/>
    </row>
    <row r="59" spans="1:20" s="321" customFormat="1" ht="15.75">
      <c r="A59" s="345" t="s">
        <v>328</v>
      </c>
      <c r="B59" s="337"/>
      <c r="C59" s="350" t="s">
        <v>430</v>
      </c>
      <c r="D59" s="361">
        <v>120</v>
      </c>
      <c r="E59" s="337" t="s">
        <v>7</v>
      </c>
      <c r="F59" s="341"/>
      <c r="G59" s="341"/>
      <c r="H59" s="343">
        <f t="shared" si="0"/>
        <v>0</v>
      </c>
      <c r="I59" s="356" t="s">
        <v>428</v>
      </c>
      <c r="K59" s="322"/>
      <c r="L59" s="362"/>
      <c r="M59" s="362"/>
      <c r="N59" s="362"/>
      <c r="O59" s="362"/>
      <c r="P59" s="362"/>
      <c r="Q59" s="362"/>
      <c r="R59" s="362"/>
      <c r="S59" s="362"/>
      <c r="T59" s="362"/>
    </row>
    <row r="60" spans="1:20" s="321" customFormat="1" ht="15.75">
      <c r="A60" s="345" t="s">
        <v>340</v>
      </c>
      <c r="B60" s="337"/>
      <c r="C60" s="350" t="s">
        <v>431</v>
      </c>
      <c r="D60" s="361">
        <v>60</v>
      </c>
      <c r="E60" s="337" t="s">
        <v>7</v>
      </c>
      <c r="F60" s="341"/>
      <c r="G60" s="341"/>
      <c r="H60" s="343">
        <f t="shared" si="0"/>
        <v>0</v>
      </c>
      <c r="I60" s="356" t="s">
        <v>428</v>
      </c>
      <c r="K60" s="322"/>
      <c r="L60" s="362"/>
      <c r="M60" s="362"/>
      <c r="N60" s="362"/>
      <c r="O60" s="362"/>
      <c r="P60" s="362"/>
      <c r="Q60" s="362"/>
      <c r="R60" s="362"/>
      <c r="S60" s="362"/>
      <c r="T60" s="362"/>
    </row>
    <row r="61" spans="1:20" s="321" customFormat="1" ht="15.75">
      <c r="A61" s="345" t="s">
        <v>351</v>
      </c>
      <c r="B61" s="337"/>
      <c r="C61" s="350" t="s">
        <v>432</v>
      </c>
      <c r="D61" s="361">
        <v>90</v>
      </c>
      <c r="E61" s="337" t="s">
        <v>7</v>
      </c>
      <c r="F61" s="341"/>
      <c r="G61" s="341"/>
      <c r="H61" s="343">
        <f t="shared" si="0"/>
        <v>0</v>
      </c>
      <c r="I61" s="356" t="s">
        <v>433</v>
      </c>
      <c r="K61" s="322"/>
      <c r="L61" s="362"/>
      <c r="M61" s="362"/>
      <c r="N61" s="362"/>
      <c r="O61" s="362"/>
      <c r="P61" s="362"/>
      <c r="Q61" s="362"/>
      <c r="R61" s="362"/>
      <c r="S61" s="362"/>
      <c r="T61" s="362"/>
    </row>
    <row r="62" spans="1:20" s="321" customFormat="1" ht="15.75">
      <c r="A62" s="345" t="s">
        <v>351</v>
      </c>
      <c r="B62" s="337"/>
      <c r="C62" s="350" t="s">
        <v>434</v>
      </c>
      <c r="D62" s="361">
        <v>60</v>
      </c>
      <c r="E62" s="337" t="s">
        <v>7</v>
      </c>
      <c r="F62" s="341"/>
      <c r="G62" s="341"/>
      <c r="H62" s="343">
        <f t="shared" si="0"/>
        <v>0</v>
      </c>
      <c r="I62" s="356" t="s">
        <v>435</v>
      </c>
      <c r="K62" s="322"/>
      <c r="L62" s="362"/>
      <c r="M62" s="362"/>
      <c r="N62" s="362"/>
      <c r="O62" s="362"/>
      <c r="P62" s="362"/>
      <c r="Q62" s="362"/>
      <c r="R62" s="362"/>
      <c r="S62" s="362"/>
      <c r="T62" s="362"/>
    </row>
    <row r="63" spans="1:20" s="321" customFormat="1" ht="15.75">
      <c r="A63" s="345" t="s">
        <v>369</v>
      </c>
      <c r="B63" s="337"/>
      <c r="C63" s="350" t="s">
        <v>436</v>
      </c>
      <c r="D63" s="361">
        <v>40</v>
      </c>
      <c r="E63" s="337" t="s">
        <v>7</v>
      </c>
      <c r="F63" s="341"/>
      <c r="G63" s="341"/>
      <c r="H63" s="343">
        <f t="shared" si="0"/>
        <v>0</v>
      </c>
      <c r="I63" s="356" t="s">
        <v>437</v>
      </c>
      <c r="K63" s="322"/>
      <c r="L63" s="362"/>
      <c r="M63" s="362"/>
      <c r="N63" s="362"/>
      <c r="O63" s="362"/>
      <c r="P63" s="362"/>
      <c r="Q63" s="362"/>
      <c r="R63" s="362"/>
      <c r="S63" s="362"/>
      <c r="T63" s="362"/>
    </row>
    <row r="64" spans="1:20" s="321" customFormat="1" ht="15.75">
      <c r="A64" s="345" t="s">
        <v>373</v>
      </c>
      <c r="B64" s="337"/>
      <c r="C64" s="350" t="s">
        <v>438</v>
      </c>
      <c r="D64" s="361">
        <v>260</v>
      </c>
      <c r="E64" s="337" t="s">
        <v>7</v>
      </c>
      <c r="F64" s="341"/>
      <c r="G64" s="341"/>
      <c r="H64" s="343">
        <f t="shared" si="0"/>
        <v>0</v>
      </c>
      <c r="I64" s="351" t="s">
        <v>439</v>
      </c>
      <c r="K64" s="322"/>
      <c r="L64" s="362"/>
      <c r="M64" s="362"/>
      <c r="N64" s="362"/>
      <c r="O64" s="362"/>
      <c r="P64" s="362"/>
      <c r="Q64" s="362"/>
      <c r="R64" s="362"/>
      <c r="S64" s="362"/>
      <c r="T64" s="362"/>
    </row>
    <row r="65" spans="1:20" s="321" customFormat="1" ht="15.75">
      <c r="A65" s="345" t="s">
        <v>377</v>
      </c>
      <c r="B65" s="337"/>
      <c r="C65" s="363" t="s">
        <v>440</v>
      </c>
      <c r="D65" s="361">
        <v>760</v>
      </c>
      <c r="E65" s="337" t="s">
        <v>7</v>
      </c>
      <c r="F65" s="341"/>
      <c r="G65" s="341"/>
      <c r="H65" s="343">
        <f t="shared" si="0"/>
        <v>0</v>
      </c>
      <c r="I65" s="356" t="s">
        <v>441</v>
      </c>
      <c r="K65" s="322"/>
      <c r="L65" s="362"/>
      <c r="M65" s="362"/>
      <c r="N65" s="362"/>
      <c r="O65" s="362"/>
      <c r="P65" s="362"/>
      <c r="Q65" s="362"/>
      <c r="R65" s="362"/>
      <c r="S65" s="362"/>
      <c r="T65" s="362"/>
    </row>
    <row r="66" spans="1:20" s="321" customFormat="1" ht="15.75">
      <c r="A66" s="345" t="s">
        <v>381</v>
      </c>
      <c r="B66" s="337"/>
      <c r="C66" s="363" t="s">
        <v>442</v>
      </c>
      <c r="D66" s="361">
        <f>3*190</f>
        <v>570</v>
      </c>
      <c r="E66" s="337" t="s">
        <v>7</v>
      </c>
      <c r="F66" s="341"/>
      <c r="G66" s="341"/>
      <c r="H66" s="343">
        <f t="shared" si="0"/>
        <v>0</v>
      </c>
      <c r="I66" s="356" t="s">
        <v>443</v>
      </c>
      <c r="K66" s="322"/>
      <c r="L66" s="362"/>
      <c r="M66" s="362"/>
      <c r="N66" s="362"/>
      <c r="O66" s="362"/>
      <c r="P66" s="362"/>
      <c r="Q66" s="362"/>
      <c r="R66" s="362"/>
      <c r="S66" s="362"/>
      <c r="T66" s="362"/>
    </row>
    <row r="67" spans="1:20" s="321" customFormat="1" ht="15.75">
      <c r="A67" s="345" t="s">
        <v>385</v>
      </c>
      <c r="B67" s="337"/>
      <c r="C67" s="350" t="s">
        <v>444</v>
      </c>
      <c r="D67" s="361">
        <v>1</v>
      </c>
      <c r="E67" s="337" t="s">
        <v>64</v>
      </c>
      <c r="F67" s="341"/>
      <c r="G67" s="341"/>
      <c r="H67" s="343">
        <f t="shared" si="0"/>
        <v>0</v>
      </c>
      <c r="I67" s="351" t="s">
        <v>444</v>
      </c>
      <c r="K67" s="322"/>
      <c r="L67" s="362"/>
      <c r="M67" s="362"/>
      <c r="N67" s="362"/>
      <c r="O67" s="362"/>
      <c r="P67" s="362"/>
      <c r="Q67" s="362"/>
      <c r="R67" s="362"/>
      <c r="S67" s="362"/>
      <c r="T67" s="362"/>
    </row>
    <row r="68" spans="1:20" s="321" customFormat="1" ht="15.75">
      <c r="A68" s="345"/>
      <c r="B68" s="337"/>
      <c r="C68" s="350"/>
      <c r="D68" s="361"/>
      <c r="E68" s="337"/>
      <c r="F68" s="341"/>
      <c r="G68" s="342"/>
      <c r="H68" s="343"/>
      <c r="I68" s="351"/>
      <c r="K68" s="322"/>
      <c r="L68" s="362"/>
      <c r="M68" s="362"/>
      <c r="N68" s="362"/>
      <c r="O68" s="362"/>
      <c r="P68" s="362"/>
      <c r="Q68" s="362"/>
      <c r="R68" s="362"/>
      <c r="S68" s="362"/>
      <c r="T68" s="362"/>
    </row>
    <row r="69" spans="1:20" s="321" customFormat="1" ht="15.75">
      <c r="A69" s="336" t="s">
        <v>318</v>
      </c>
      <c r="B69" s="337"/>
      <c r="C69" s="338" t="s">
        <v>445</v>
      </c>
      <c r="D69" s="337"/>
      <c r="E69" s="337"/>
      <c r="F69" s="341"/>
      <c r="G69" s="342"/>
      <c r="H69" s="343"/>
      <c r="I69" s="348"/>
      <c r="K69" s="322"/>
    </row>
    <row r="70" spans="1:20" s="321" customFormat="1" ht="15.75">
      <c r="A70" s="345" t="s">
        <v>320</v>
      </c>
      <c r="B70" s="346"/>
      <c r="C70" s="364" t="s">
        <v>446</v>
      </c>
      <c r="D70" s="361">
        <v>30</v>
      </c>
      <c r="E70" s="337" t="s">
        <v>7</v>
      </c>
      <c r="F70" s="341"/>
      <c r="G70" s="341"/>
      <c r="H70" s="343">
        <f t="shared" ref="H70:H80" si="4">D70*(F70+G70)</f>
        <v>0</v>
      </c>
      <c r="I70" s="348" t="s">
        <v>446</v>
      </c>
      <c r="K70" s="322"/>
    </row>
    <row r="71" spans="1:20" s="321" customFormat="1" ht="15.75">
      <c r="A71" s="345" t="s">
        <v>324</v>
      </c>
      <c r="B71" s="346"/>
      <c r="C71" s="364" t="s">
        <v>447</v>
      </c>
      <c r="D71" s="361">
        <v>40</v>
      </c>
      <c r="E71" s="337" t="s">
        <v>7</v>
      </c>
      <c r="F71" s="341"/>
      <c r="G71" s="341"/>
      <c r="H71" s="343">
        <f t="shared" si="4"/>
        <v>0</v>
      </c>
      <c r="I71" s="348" t="s">
        <v>447</v>
      </c>
      <c r="K71" s="322"/>
    </row>
    <row r="72" spans="1:20" s="321" customFormat="1" ht="15.75">
      <c r="A72" s="345" t="s">
        <v>328</v>
      </c>
      <c r="B72" s="346"/>
      <c r="C72" s="364" t="s">
        <v>448</v>
      </c>
      <c r="D72" s="361">
        <v>170</v>
      </c>
      <c r="E72" s="337" t="s">
        <v>7</v>
      </c>
      <c r="F72" s="341"/>
      <c r="G72" s="341"/>
      <c r="H72" s="343">
        <f t="shared" si="4"/>
        <v>0</v>
      </c>
      <c r="I72" s="365" t="s">
        <v>448</v>
      </c>
      <c r="K72" s="322"/>
    </row>
    <row r="73" spans="1:20" s="321" customFormat="1" ht="15.75">
      <c r="A73" s="345" t="s">
        <v>340</v>
      </c>
      <c r="B73" s="346"/>
      <c r="C73" s="364" t="s">
        <v>449</v>
      </c>
      <c r="D73" s="361">
        <v>10</v>
      </c>
      <c r="E73" s="337" t="s">
        <v>7</v>
      </c>
      <c r="F73" s="341"/>
      <c r="G73" s="341"/>
      <c r="H73" s="343">
        <f t="shared" si="4"/>
        <v>0</v>
      </c>
      <c r="I73" s="348" t="s">
        <v>450</v>
      </c>
      <c r="K73" s="322"/>
    </row>
    <row r="74" spans="1:20" s="321" customFormat="1" ht="15.75">
      <c r="A74" s="345" t="s">
        <v>351</v>
      </c>
      <c r="B74" s="346"/>
      <c r="C74" s="364" t="s">
        <v>450</v>
      </c>
      <c r="D74" s="361">
        <v>25</v>
      </c>
      <c r="E74" s="337" t="s">
        <v>7</v>
      </c>
      <c r="F74" s="341"/>
      <c r="G74" s="341"/>
      <c r="H74" s="343">
        <f t="shared" si="4"/>
        <v>0</v>
      </c>
      <c r="I74" s="348" t="s">
        <v>450</v>
      </c>
      <c r="K74" s="322"/>
    </row>
    <row r="75" spans="1:20" s="321" customFormat="1" ht="15.75">
      <c r="A75" s="345" t="s">
        <v>369</v>
      </c>
      <c r="B75" s="346"/>
      <c r="C75" s="364" t="s">
        <v>451</v>
      </c>
      <c r="D75" s="361">
        <v>245</v>
      </c>
      <c r="E75" s="337" t="s">
        <v>7</v>
      </c>
      <c r="F75" s="341"/>
      <c r="G75" s="341"/>
      <c r="H75" s="343">
        <f t="shared" si="4"/>
        <v>0</v>
      </c>
      <c r="I75" s="348" t="s">
        <v>451</v>
      </c>
      <c r="K75" s="322"/>
    </row>
    <row r="76" spans="1:20" s="321" customFormat="1" ht="15.75">
      <c r="A76" s="345" t="s">
        <v>373</v>
      </c>
      <c r="B76" s="337"/>
      <c r="C76" s="353" t="s">
        <v>452</v>
      </c>
      <c r="D76" s="361">
        <v>150</v>
      </c>
      <c r="E76" s="337" t="s">
        <v>7</v>
      </c>
      <c r="F76" s="341"/>
      <c r="G76" s="341"/>
      <c r="H76" s="343">
        <f t="shared" si="4"/>
        <v>0</v>
      </c>
      <c r="I76" s="354" t="s">
        <v>452</v>
      </c>
      <c r="K76" s="322"/>
      <c r="L76" s="362"/>
      <c r="M76" s="362"/>
      <c r="N76" s="362"/>
      <c r="O76" s="362"/>
      <c r="P76" s="362"/>
      <c r="Q76" s="362"/>
      <c r="R76" s="362"/>
      <c r="S76" s="362"/>
      <c r="T76" s="362"/>
    </row>
    <row r="77" spans="1:20" s="321" customFormat="1" ht="15.75">
      <c r="A77" s="345" t="s">
        <v>377</v>
      </c>
      <c r="B77" s="346"/>
      <c r="C77" s="364" t="s">
        <v>453</v>
      </c>
      <c r="D77" s="337">
        <v>1</v>
      </c>
      <c r="E77" s="337" t="s">
        <v>64</v>
      </c>
      <c r="F77" s="341"/>
      <c r="G77" s="342"/>
      <c r="H77" s="343">
        <f t="shared" si="4"/>
        <v>0</v>
      </c>
      <c r="I77" s="348" t="s">
        <v>453</v>
      </c>
      <c r="K77" s="322"/>
    </row>
    <row r="78" spans="1:20" s="321" customFormat="1" ht="15.75">
      <c r="A78" s="345" t="s">
        <v>381</v>
      </c>
      <c r="B78" s="346"/>
      <c r="C78" s="364" t="s">
        <v>454</v>
      </c>
      <c r="D78" s="337">
        <v>1</v>
      </c>
      <c r="E78" s="337" t="s">
        <v>64</v>
      </c>
      <c r="F78" s="341"/>
      <c r="G78" s="342"/>
      <c r="H78" s="343">
        <f t="shared" si="4"/>
        <v>0</v>
      </c>
      <c r="I78" s="348" t="s">
        <v>454</v>
      </c>
      <c r="K78" s="322"/>
    </row>
    <row r="79" spans="1:20" s="321" customFormat="1" ht="31.5">
      <c r="A79" s="345" t="s">
        <v>385</v>
      </c>
      <c r="B79" s="346"/>
      <c r="C79" s="364" t="s">
        <v>455</v>
      </c>
      <c r="D79" s="337">
        <v>1</v>
      </c>
      <c r="E79" s="337" t="s">
        <v>64</v>
      </c>
      <c r="F79" s="341"/>
      <c r="G79" s="342"/>
      <c r="H79" s="343">
        <f t="shared" si="4"/>
        <v>0</v>
      </c>
      <c r="I79" s="348" t="s">
        <v>456</v>
      </c>
      <c r="K79" s="322"/>
    </row>
    <row r="80" spans="1:20" s="321" customFormat="1" ht="31.5">
      <c r="A80" s="345" t="s">
        <v>389</v>
      </c>
      <c r="B80" s="346"/>
      <c r="C80" s="364" t="s">
        <v>457</v>
      </c>
      <c r="D80" s="337">
        <v>1</v>
      </c>
      <c r="E80" s="337" t="s">
        <v>64</v>
      </c>
      <c r="F80" s="341"/>
      <c r="G80" s="342"/>
      <c r="H80" s="343">
        <f t="shared" si="4"/>
        <v>0</v>
      </c>
      <c r="I80" s="348" t="s">
        <v>458</v>
      </c>
      <c r="K80" s="322"/>
    </row>
    <row r="81" spans="1:20" s="321" customFormat="1" ht="15.75">
      <c r="A81" s="345"/>
      <c r="B81" s="337"/>
      <c r="C81" s="350"/>
      <c r="D81" s="360"/>
      <c r="E81" s="355"/>
      <c r="F81" s="341"/>
      <c r="G81" s="342"/>
      <c r="H81" s="343"/>
      <c r="I81" s="348"/>
      <c r="K81" s="322"/>
    </row>
    <row r="82" spans="1:20" s="321" customFormat="1" ht="15.75">
      <c r="A82" s="336" t="s">
        <v>318</v>
      </c>
      <c r="B82" s="337"/>
      <c r="C82" s="338" t="s">
        <v>459</v>
      </c>
      <c r="D82" s="337"/>
      <c r="E82" s="337"/>
      <c r="F82" s="341"/>
      <c r="G82" s="342"/>
      <c r="H82" s="343"/>
      <c r="I82" s="348"/>
      <c r="K82" s="322"/>
    </row>
    <row r="83" spans="1:20" s="321" customFormat="1" ht="31.5">
      <c r="A83" s="345" t="s">
        <v>320</v>
      </c>
      <c r="B83" s="337"/>
      <c r="C83" s="350" t="s">
        <v>460</v>
      </c>
      <c r="D83" s="361">
        <v>500</v>
      </c>
      <c r="E83" s="337" t="s">
        <v>7</v>
      </c>
      <c r="F83" s="341"/>
      <c r="G83" s="341"/>
      <c r="H83" s="343">
        <f t="shared" ref="H83" si="5">D83*(F83+G83)</f>
        <v>0</v>
      </c>
      <c r="I83" s="354" t="s">
        <v>461</v>
      </c>
      <c r="K83" s="322"/>
      <c r="L83" s="362"/>
      <c r="M83" s="362"/>
      <c r="N83" s="362"/>
      <c r="O83" s="362"/>
      <c r="P83" s="362"/>
      <c r="Q83" s="362"/>
      <c r="R83" s="362"/>
      <c r="S83" s="362"/>
      <c r="T83" s="362"/>
    </row>
    <row r="84" spans="1:20" s="321" customFormat="1" ht="31.5">
      <c r="A84" s="345" t="s">
        <v>324</v>
      </c>
      <c r="B84" s="337"/>
      <c r="C84" s="350" t="s">
        <v>462</v>
      </c>
      <c r="D84" s="361">
        <v>850</v>
      </c>
      <c r="E84" s="337" t="s">
        <v>7</v>
      </c>
      <c r="F84" s="341"/>
      <c r="G84" s="341"/>
      <c r="H84" s="343">
        <f>D84*(F84+G84)</f>
        <v>0</v>
      </c>
      <c r="I84" s="354" t="s">
        <v>463</v>
      </c>
      <c r="K84" s="322"/>
      <c r="L84" s="362"/>
      <c r="M84" s="362"/>
      <c r="N84" s="362"/>
      <c r="O84" s="362"/>
      <c r="P84" s="362"/>
      <c r="Q84" s="362"/>
      <c r="R84" s="362"/>
      <c r="S84" s="362"/>
      <c r="T84" s="362"/>
    </row>
    <row r="85" spans="1:20" s="321" customFormat="1" ht="15.75">
      <c r="A85" s="345" t="s">
        <v>328</v>
      </c>
      <c r="B85" s="337"/>
      <c r="C85" s="350" t="s">
        <v>464</v>
      </c>
      <c r="D85" s="361">
        <v>850</v>
      </c>
      <c r="E85" s="337" t="s">
        <v>7</v>
      </c>
      <c r="F85" s="341"/>
      <c r="G85" s="341"/>
      <c r="H85" s="343">
        <f>D85*(F85+G85)</f>
        <v>0</v>
      </c>
      <c r="I85" s="351" t="s">
        <v>464</v>
      </c>
      <c r="K85" s="322"/>
      <c r="L85" s="362"/>
      <c r="M85" s="362"/>
      <c r="N85" s="362"/>
      <c r="O85" s="362"/>
      <c r="P85" s="362"/>
      <c r="Q85" s="362"/>
      <c r="R85" s="362"/>
      <c r="S85" s="362"/>
      <c r="T85" s="362"/>
    </row>
    <row r="86" spans="1:20" s="321" customFormat="1" ht="15.75">
      <c r="A86" s="345" t="s">
        <v>340</v>
      </c>
      <c r="B86" s="337"/>
      <c r="C86" s="350" t="s">
        <v>465</v>
      </c>
      <c r="D86" s="361">
        <v>850</v>
      </c>
      <c r="E86" s="337" t="s">
        <v>7</v>
      </c>
      <c r="F86" s="341"/>
      <c r="G86" s="341"/>
      <c r="H86" s="343"/>
      <c r="I86" s="351" t="s">
        <v>466</v>
      </c>
      <c r="K86" s="322"/>
      <c r="L86" s="362"/>
      <c r="M86" s="362"/>
      <c r="N86" s="362"/>
      <c r="O86" s="362"/>
      <c r="P86" s="362"/>
      <c r="Q86" s="362"/>
      <c r="R86" s="362"/>
      <c r="S86" s="362"/>
      <c r="T86" s="362"/>
    </row>
    <row r="87" spans="1:20" s="321" customFormat="1" ht="15.75">
      <c r="A87" s="345" t="s">
        <v>351</v>
      </c>
      <c r="B87" s="337"/>
      <c r="C87" s="350" t="s">
        <v>452</v>
      </c>
      <c r="D87" s="361">
        <f>850</f>
        <v>850</v>
      </c>
      <c r="E87" s="337" t="s">
        <v>7</v>
      </c>
      <c r="F87" s="341"/>
      <c r="G87" s="341"/>
      <c r="H87" s="343">
        <f>D87*(F87+G87)</f>
        <v>0</v>
      </c>
      <c r="I87" s="354" t="s">
        <v>452</v>
      </c>
      <c r="K87" s="322"/>
      <c r="L87" s="362"/>
      <c r="M87" s="362"/>
      <c r="N87" s="362"/>
      <c r="O87" s="362"/>
      <c r="P87" s="362"/>
      <c r="Q87" s="362"/>
      <c r="R87" s="362"/>
      <c r="S87" s="362"/>
      <c r="T87" s="362"/>
    </row>
    <row r="88" spans="1:20" s="321" customFormat="1" ht="15.75">
      <c r="A88" s="345" t="s">
        <v>369</v>
      </c>
      <c r="B88" s="346"/>
      <c r="C88" s="366" t="s">
        <v>467</v>
      </c>
      <c r="D88" s="361">
        <v>850</v>
      </c>
      <c r="E88" s="337" t="s">
        <v>7</v>
      </c>
      <c r="F88" s="341"/>
      <c r="G88" s="341"/>
      <c r="H88" s="343">
        <f>D88*(F88+G88)</f>
        <v>0</v>
      </c>
      <c r="I88" s="348" t="s">
        <v>467</v>
      </c>
      <c r="K88" s="322"/>
    </row>
    <row r="89" spans="1:20" s="321" customFormat="1" ht="15.75">
      <c r="A89" s="345" t="s">
        <v>373</v>
      </c>
      <c r="B89" s="346"/>
      <c r="C89" s="366" t="s">
        <v>468</v>
      </c>
      <c r="D89" s="361">
        <v>850</v>
      </c>
      <c r="E89" s="337" t="s">
        <v>7</v>
      </c>
      <c r="F89" s="341"/>
      <c r="G89" s="341"/>
      <c r="H89" s="343">
        <f>D89*(F89+G89)</f>
        <v>0</v>
      </c>
      <c r="I89" s="348" t="s">
        <v>468</v>
      </c>
      <c r="K89" s="322"/>
    </row>
    <row r="90" spans="1:20" s="321" customFormat="1" ht="15.75">
      <c r="A90" s="345" t="s">
        <v>377</v>
      </c>
      <c r="B90" s="346"/>
      <c r="C90" s="366" t="s">
        <v>469</v>
      </c>
      <c r="D90" s="361">
        <v>850</v>
      </c>
      <c r="E90" s="337" t="s">
        <v>7</v>
      </c>
      <c r="F90" s="341"/>
      <c r="G90" s="341"/>
      <c r="H90" s="343">
        <f t="shared" ref="H90" si="6">D90*(F90+G90)</f>
        <v>0</v>
      </c>
      <c r="I90" s="348" t="s">
        <v>469</v>
      </c>
      <c r="K90" s="322"/>
    </row>
    <row r="91" spans="1:20" s="321" customFormat="1" ht="15.75">
      <c r="A91" s="345" t="s">
        <v>381</v>
      </c>
      <c r="B91" s="346"/>
      <c r="C91" s="366" t="s">
        <v>470</v>
      </c>
      <c r="D91" s="361">
        <v>850</v>
      </c>
      <c r="E91" s="337" t="s">
        <v>7</v>
      </c>
      <c r="F91" s="341"/>
      <c r="G91" s="341"/>
      <c r="H91" s="343">
        <f>D91*(F91+G91)</f>
        <v>0</v>
      </c>
      <c r="I91" s="348" t="s">
        <v>470</v>
      </c>
      <c r="K91" s="322"/>
    </row>
    <row r="92" spans="1:20" s="321" customFormat="1" ht="15.75">
      <c r="A92" s="345" t="s">
        <v>385</v>
      </c>
      <c r="B92" s="346"/>
      <c r="C92" s="366" t="s">
        <v>471</v>
      </c>
      <c r="D92" s="361">
        <v>16</v>
      </c>
      <c r="E92" s="337" t="s">
        <v>64</v>
      </c>
      <c r="F92" s="341"/>
      <c r="G92" s="341"/>
      <c r="H92" s="343">
        <f>D92*(F92+G92)</f>
        <v>0</v>
      </c>
      <c r="I92" s="348" t="s">
        <v>471</v>
      </c>
      <c r="K92" s="322"/>
    </row>
    <row r="93" spans="1:20" s="321" customFormat="1" ht="15.75">
      <c r="A93" s="345" t="s">
        <v>389</v>
      </c>
      <c r="B93" s="346"/>
      <c r="C93" s="366" t="s">
        <v>472</v>
      </c>
      <c r="D93" s="361">
        <v>8</v>
      </c>
      <c r="E93" s="337" t="s">
        <v>64</v>
      </c>
      <c r="F93" s="341"/>
      <c r="G93" s="341"/>
      <c r="H93" s="343">
        <f t="shared" ref="H93" si="7">D93*(F93+G93)</f>
        <v>0</v>
      </c>
      <c r="I93" s="348" t="s">
        <v>472</v>
      </c>
      <c r="K93" s="322"/>
    </row>
    <row r="94" spans="1:20" s="321" customFormat="1" ht="15.75">
      <c r="A94" s="367"/>
      <c r="B94" s="368"/>
      <c r="C94" s="369"/>
      <c r="D94" s="370"/>
      <c r="E94" s="371"/>
      <c r="F94" s="372"/>
      <c r="G94" s="373"/>
      <c r="H94" s="343"/>
      <c r="I94" s="374"/>
      <c r="K94" s="322"/>
    </row>
    <row r="95" spans="1:20" s="321" customFormat="1" ht="15.75">
      <c r="A95" s="336" t="s">
        <v>318</v>
      </c>
      <c r="B95" s="337"/>
      <c r="C95" s="338" t="s">
        <v>473</v>
      </c>
      <c r="D95" s="337"/>
      <c r="E95" s="337"/>
      <c r="F95" s="341"/>
      <c r="G95" s="342"/>
      <c r="H95" s="343"/>
      <c r="I95" s="348"/>
      <c r="K95" s="322"/>
    </row>
    <row r="96" spans="1:20" s="321" customFormat="1" ht="31.5">
      <c r="A96" s="345" t="s">
        <v>320</v>
      </c>
      <c r="B96" s="337"/>
      <c r="C96" s="349" t="s">
        <v>474</v>
      </c>
      <c r="D96" s="337">
        <v>2</v>
      </c>
      <c r="E96" s="337" t="s">
        <v>126</v>
      </c>
      <c r="F96" s="341"/>
      <c r="G96" s="342"/>
      <c r="H96" s="343">
        <f t="shared" ref="H96:H97" si="8">D96*(F96+G96)</f>
        <v>0</v>
      </c>
      <c r="I96" s="348" t="s">
        <v>475</v>
      </c>
      <c r="K96" s="322"/>
    </row>
    <row r="97" spans="1:20" s="321" customFormat="1" ht="31.5">
      <c r="A97" s="345" t="s">
        <v>324</v>
      </c>
      <c r="B97" s="337"/>
      <c r="C97" s="353" t="s">
        <v>476</v>
      </c>
      <c r="D97" s="361">
        <v>1</v>
      </c>
      <c r="E97" s="337" t="s">
        <v>64</v>
      </c>
      <c r="F97" s="341"/>
      <c r="G97" s="341"/>
      <c r="H97" s="343">
        <f t="shared" si="8"/>
        <v>0</v>
      </c>
      <c r="I97" s="354" t="s">
        <v>476</v>
      </c>
      <c r="K97" s="322"/>
      <c r="L97" s="362"/>
      <c r="M97" s="362"/>
      <c r="N97" s="362"/>
      <c r="O97" s="362"/>
      <c r="P97" s="362"/>
      <c r="Q97" s="362"/>
      <c r="R97" s="362"/>
      <c r="S97" s="362"/>
      <c r="T97" s="362"/>
    </row>
    <row r="98" spans="1:20" s="321" customFormat="1" ht="15.75">
      <c r="A98" s="345" t="s">
        <v>328</v>
      </c>
      <c r="B98" s="337"/>
      <c r="C98" s="350" t="s">
        <v>477</v>
      </c>
      <c r="D98" s="361">
        <v>1</v>
      </c>
      <c r="E98" s="337" t="s">
        <v>64</v>
      </c>
      <c r="F98" s="341"/>
      <c r="G98" s="341"/>
      <c r="H98" s="343">
        <f>D98*(F98+G98)</f>
        <v>0</v>
      </c>
      <c r="I98" s="354" t="s">
        <v>477</v>
      </c>
      <c r="K98" s="322"/>
      <c r="L98" s="362"/>
      <c r="M98" s="362"/>
      <c r="N98" s="362"/>
      <c r="O98" s="362"/>
      <c r="P98" s="362"/>
      <c r="Q98" s="362"/>
      <c r="R98" s="362"/>
      <c r="S98" s="362"/>
      <c r="T98" s="362"/>
    </row>
    <row r="99" spans="1:20" s="321" customFormat="1" ht="15.75">
      <c r="A99" s="367"/>
      <c r="B99" s="368"/>
      <c r="C99" s="369"/>
      <c r="D99" s="370"/>
      <c r="E99" s="371"/>
      <c r="F99" s="372"/>
      <c r="G99" s="373"/>
      <c r="H99" s="343"/>
      <c r="I99" s="374"/>
      <c r="K99" s="322"/>
    </row>
    <row r="100" spans="1:20" s="321" customFormat="1" ht="15.75">
      <c r="A100" s="336" t="s">
        <v>318</v>
      </c>
      <c r="B100" s="337"/>
      <c r="C100" s="338" t="s">
        <v>478</v>
      </c>
      <c r="D100" s="337"/>
      <c r="E100" s="337"/>
      <c r="F100" s="341"/>
      <c r="G100" s="342"/>
      <c r="H100" s="343"/>
      <c r="I100" s="348"/>
      <c r="K100" s="322"/>
    </row>
    <row r="101" spans="1:20" s="321" customFormat="1" ht="31.5">
      <c r="A101" s="345" t="s">
        <v>320</v>
      </c>
      <c r="B101" s="346"/>
      <c r="C101" s="364" t="s">
        <v>479</v>
      </c>
      <c r="D101" s="337">
        <v>1</v>
      </c>
      <c r="E101" s="337" t="s">
        <v>64</v>
      </c>
      <c r="F101" s="341"/>
      <c r="G101" s="342"/>
      <c r="H101" s="343">
        <f t="shared" si="0"/>
        <v>0</v>
      </c>
      <c r="I101" s="348" t="s">
        <v>480</v>
      </c>
      <c r="K101" s="322"/>
    </row>
    <row r="102" spans="1:20" s="321" customFormat="1" ht="15.75">
      <c r="A102" s="345" t="s">
        <v>324</v>
      </c>
      <c r="B102" s="346"/>
      <c r="C102" s="366" t="s">
        <v>481</v>
      </c>
      <c r="D102" s="337">
        <v>1</v>
      </c>
      <c r="E102" s="337" t="s">
        <v>64</v>
      </c>
      <c r="F102" s="341"/>
      <c r="G102" s="342"/>
      <c r="H102" s="343">
        <f t="shared" si="0"/>
        <v>0</v>
      </c>
      <c r="I102" s="348" t="s">
        <v>481</v>
      </c>
      <c r="K102" s="322"/>
    </row>
    <row r="103" spans="1:20" s="321" customFormat="1" ht="15.75">
      <c r="A103" s="345" t="s">
        <v>328</v>
      </c>
      <c r="B103" s="346"/>
      <c r="C103" s="366" t="s">
        <v>482</v>
      </c>
      <c r="D103" s="337">
        <v>1</v>
      </c>
      <c r="E103" s="337" t="s">
        <v>64</v>
      </c>
      <c r="F103" s="341"/>
      <c r="G103" s="342"/>
      <c r="H103" s="343">
        <f t="shared" si="0"/>
        <v>0</v>
      </c>
      <c r="I103" s="348" t="s">
        <v>483</v>
      </c>
      <c r="K103" s="322"/>
    </row>
    <row r="104" spans="1:20" s="321" customFormat="1" ht="31.5">
      <c r="A104" s="345" t="s">
        <v>340</v>
      </c>
      <c r="B104" s="337"/>
      <c r="C104" s="353" t="s">
        <v>484</v>
      </c>
      <c r="D104" s="337">
        <v>1</v>
      </c>
      <c r="E104" s="337" t="s">
        <v>64</v>
      </c>
      <c r="F104" s="341"/>
      <c r="G104" s="342"/>
      <c r="H104" s="343">
        <f t="shared" si="0"/>
        <v>0</v>
      </c>
      <c r="I104" s="348" t="s">
        <v>484</v>
      </c>
      <c r="K104" s="322"/>
    </row>
    <row r="105" spans="1:20" s="321" customFormat="1" ht="15.75">
      <c r="A105" s="345" t="s">
        <v>351</v>
      </c>
      <c r="B105" s="337"/>
      <c r="C105" s="375" t="s">
        <v>485</v>
      </c>
      <c r="D105" s="337">
        <v>1</v>
      </c>
      <c r="E105" s="337" t="s">
        <v>64</v>
      </c>
      <c r="F105" s="341"/>
      <c r="G105" s="342"/>
      <c r="H105" s="343">
        <f t="shared" si="0"/>
        <v>0</v>
      </c>
      <c r="I105" s="376" t="s">
        <v>485</v>
      </c>
      <c r="K105" s="322"/>
    </row>
    <row r="106" spans="1:20" s="321" customFormat="1" ht="15.75">
      <c r="A106" s="345" t="s">
        <v>369</v>
      </c>
      <c r="B106" s="337"/>
      <c r="C106" s="375" t="s">
        <v>486</v>
      </c>
      <c r="D106" s="337">
        <v>1</v>
      </c>
      <c r="E106" s="337" t="s">
        <v>64</v>
      </c>
      <c r="F106" s="341"/>
      <c r="G106" s="342"/>
      <c r="H106" s="343">
        <f t="shared" si="0"/>
        <v>0</v>
      </c>
      <c r="I106" s="348" t="s">
        <v>486</v>
      </c>
      <c r="K106" s="322"/>
    </row>
    <row r="107" spans="1:20" s="321" customFormat="1" ht="15.75">
      <c r="A107" s="345" t="s">
        <v>373</v>
      </c>
      <c r="B107" s="377"/>
      <c r="C107" s="375" t="s">
        <v>487</v>
      </c>
      <c r="D107" s="337">
        <v>1</v>
      </c>
      <c r="E107" s="337" t="s">
        <v>64</v>
      </c>
      <c r="F107" s="341"/>
      <c r="G107" s="342"/>
      <c r="H107" s="343">
        <f t="shared" si="0"/>
        <v>0</v>
      </c>
      <c r="I107" s="378" t="s">
        <v>487</v>
      </c>
      <c r="K107" s="322"/>
    </row>
    <row r="108" spans="1:20" s="321" customFormat="1" ht="16.5" thickBot="1">
      <c r="A108" s="379"/>
      <c r="B108" s="380"/>
      <c r="C108" s="381"/>
      <c r="D108" s="380"/>
      <c r="E108" s="380"/>
      <c r="F108" s="382"/>
      <c r="G108" s="383"/>
      <c r="H108" s="384"/>
      <c r="I108" s="385"/>
      <c r="K108" s="322"/>
    </row>
    <row r="109" spans="1:20" s="321" customFormat="1" ht="16.5" thickTop="1">
      <c r="F109" s="327"/>
      <c r="G109" s="327"/>
      <c r="H109" s="327"/>
      <c r="K109" s="322"/>
    </row>
    <row r="110" spans="1:20">
      <c r="C110" s="387" t="s">
        <v>488</v>
      </c>
      <c r="D110" s="387"/>
      <c r="E110" s="387"/>
      <c r="F110" s="388"/>
      <c r="G110" s="388"/>
      <c r="H110" s="388">
        <f>SUM(H7:H107)</f>
        <v>0</v>
      </c>
    </row>
  </sheetData>
  <pageMargins left="0.23622047244094491" right="0.15748031496062992" top="0.39370078740157483" bottom="0.23622047244094491" header="0.23622047244094491" footer="0.31496062992125984"/>
  <pageSetup paperSize="9" scale="46" fitToHeight="0" orientation="portrait" r:id="rId1"/>
  <headerFooter>
    <oddHeader>&amp;RVýkaz - výměr</oddHeader>
    <oddFooter>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E6CEE-7D09-4F50-A7E3-A9E01D1B4310}">
  <sheetPr>
    <pageSetUpPr fitToPage="1"/>
  </sheetPr>
  <dimension ref="A1:T116"/>
  <sheetViews>
    <sheetView zoomScale="80" zoomScaleNormal="80" workbookViewId="0">
      <selection activeCell="F7" sqref="F7:G113"/>
    </sheetView>
  </sheetViews>
  <sheetFormatPr defaultColWidth="8" defaultRowHeight="15"/>
  <cols>
    <col min="1" max="1" width="9.6640625" style="391" bestFit="1" customWidth="1"/>
    <col min="2" max="2" width="11" style="391" customWidth="1"/>
    <col min="3" max="3" width="77.33203125" style="391" bestFit="1" customWidth="1"/>
    <col min="4" max="4" width="11" style="391" customWidth="1"/>
    <col min="5" max="5" width="10.6640625" style="391" customWidth="1"/>
    <col min="6" max="7" width="14.1640625" style="391" customWidth="1"/>
    <col min="8" max="8" width="13.5" style="391" customWidth="1"/>
    <col min="9" max="9" width="92.83203125" style="391" bestFit="1" customWidth="1"/>
    <col min="10" max="10" width="10.6640625" style="391" customWidth="1"/>
    <col min="11" max="11" width="10.6640625" style="322" customWidth="1"/>
    <col min="12" max="255" width="10.6640625" style="391" customWidth="1"/>
    <col min="256" max="256" width="9.6640625" style="391" bestFit="1" customWidth="1"/>
    <col min="257" max="257" width="8" style="391"/>
    <col min="258" max="258" width="9.6640625" style="391" bestFit="1" customWidth="1"/>
    <col min="259" max="259" width="8" style="391"/>
    <col min="260" max="260" width="77.33203125" style="391" bestFit="1" customWidth="1"/>
    <col min="261" max="261" width="11" style="391" customWidth="1"/>
    <col min="262" max="262" width="10.6640625" style="391" customWidth="1"/>
    <col min="263" max="263" width="14.1640625" style="391" customWidth="1"/>
    <col min="264" max="264" width="13.5" style="391" customWidth="1"/>
    <col min="265" max="265" width="92.83203125" style="391" bestFit="1" customWidth="1"/>
    <col min="266" max="511" width="10.6640625" style="391" customWidth="1"/>
    <col min="512" max="512" width="9.6640625" style="391" bestFit="1" customWidth="1"/>
    <col min="513" max="513" width="8" style="391"/>
    <col min="514" max="514" width="9.6640625" style="391" bestFit="1" customWidth="1"/>
    <col min="515" max="515" width="8" style="391"/>
    <col min="516" max="516" width="77.33203125" style="391" bestFit="1" customWidth="1"/>
    <col min="517" max="517" width="11" style="391" customWidth="1"/>
    <col min="518" max="518" width="10.6640625" style="391" customWidth="1"/>
    <col min="519" max="519" width="14.1640625" style="391" customWidth="1"/>
    <col min="520" max="520" width="13.5" style="391" customWidth="1"/>
    <col min="521" max="521" width="92.83203125" style="391" bestFit="1" customWidth="1"/>
    <col min="522" max="767" width="10.6640625" style="391" customWidth="1"/>
    <col min="768" max="768" width="9.6640625" style="391" bestFit="1" customWidth="1"/>
    <col min="769" max="769" width="8" style="391"/>
    <col min="770" max="770" width="9.6640625" style="391" bestFit="1" customWidth="1"/>
    <col min="771" max="771" width="8" style="391"/>
    <col min="772" max="772" width="77.33203125" style="391" bestFit="1" customWidth="1"/>
    <col min="773" max="773" width="11" style="391" customWidth="1"/>
    <col min="774" max="774" width="10.6640625" style="391" customWidth="1"/>
    <col min="775" max="775" width="14.1640625" style="391" customWidth="1"/>
    <col min="776" max="776" width="13.5" style="391" customWidth="1"/>
    <col min="777" max="777" width="92.83203125" style="391" bestFit="1" customWidth="1"/>
    <col min="778" max="1023" width="10.6640625" style="391" customWidth="1"/>
    <col min="1024" max="1024" width="9.6640625" style="391" bestFit="1" customWidth="1"/>
    <col min="1025" max="1025" width="8" style="391"/>
    <col min="1026" max="1026" width="9.6640625" style="391" bestFit="1" customWidth="1"/>
    <col min="1027" max="1027" width="8" style="391"/>
    <col min="1028" max="1028" width="77.33203125" style="391" bestFit="1" customWidth="1"/>
    <col min="1029" max="1029" width="11" style="391" customWidth="1"/>
    <col min="1030" max="1030" width="10.6640625" style="391" customWidth="1"/>
    <col min="1031" max="1031" width="14.1640625" style="391" customWidth="1"/>
    <col min="1032" max="1032" width="13.5" style="391" customWidth="1"/>
    <col min="1033" max="1033" width="92.83203125" style="391" bestFit="1" customWidth="1"/>
    <col min="1034" max="1279" width="10.6640625" style="391" customWidth="1"/>
    <col min="1280" max="1280" width="9.6640625" style="391" bestFit="1" customWidth="1"/>
    <col min="1281" max="1281" width="8" style="391"/>
    <col min="1282" max="1282" width="9.6640625" style="391" bestFit="1" customWidth="1"/>
    <col min="1283" max="1283" width="8" style="391"/>
    <col min="1284" max="1284" width="77.33203125" style="391" bestFit="1" customWidth="1"/>
    <col min="1285" max="1285" width="11" style="391" customWidth="1"/>
    <col min="1286" max="1286" width="10.6640625" style="391" customWidth="1"/>
    <col min="1287" max="1287" width="14.1640625" style="391" customWidth="1"/>
    <col min="1288" max="1288" width="13.5" style="391" customWidth="1"/>
    <col min="1289" max="1289" width="92.83203125" style="391" bestFit="1" customWidth="1"/>
    <col min="1290" max="1535" width="10.6640625" style="391" customWidth="1"/>
    <col min="1536" max="1536" width="9.6640625" style="391" bestFit="1" customWidth="1"/>
    <col min="1537" max="1537" width="8" style="391"/>
    <col min="1538" max="1538" width="9.6640625" style="391" bestFit="1" customWidth="1"/>
    <col min="1539" max="1539" width="8" style="391"/>
    <col min="1540" max="1540" width="77.33203125" style="391" bestFit="1" customWidth="1"/>
    <col min="1541" max="1541" width="11" style="391" customWidth="1"/>
    <col min="1542" max="1542" width="10.6640625" style="391" customWidth="1"/>
    <col min="1543" max="1543" width="14.1640625" style="391" customWidth="1"/>
    <col min="1544" max="1544" width="13.5" style="391" customWidth="1"/>
    <col min="1545" max="1545" width="92.83203125" style="391" bestFit="1" customWidth="1"/>
    <col min="1546" max="1791" width="10.6640625" style="391" customWidth="1"/>
    <col min="1792" max="1792" width="9.6640625" style="391" bestFit="1" customWidth="1"/>
    <col min="1793" max="1793" width="8" style="391"/>
    <col min="1794" max="1794" width="9.6640625" style="391" bestFit="1" customWidth="1"/>
    <col min="1795" max="1795" width="8" style="391"/>
    <col min="1796" max="1796" width="77.33203125" style="391" bestFit="1" customWidth="1"/>
    <col min="1797" max="1797" width="11" style="391" customWidth="1"/>
    <col min="1798" max="1798" width="10.6640625" style="391" customWidth="1"/>
    <col min="1799" max="1799" width="14.1640625" style="391" customWidth="1"/>
    <col min="1800" max="1800" width="13.5" style="391" customWidth="1"/>
    <col min="1801" max="1801" width="92.83203125" style="391" bestFit="1" customWidth="1"/>
    <col min="1802" max="2047" width="10.6640625" style="391" customWidth="1"/>
    <col min="2048" max="2048" width="9.6640625" style="391" bestFit="1" customWidth="1"/>
    <col min="2049" max="2049" width="8" style="391"/>
    <col min="2050" max="2050" width="9.6640625" style="391" bestFit="1" customWidth="1"/>
    <col min="2051" max="2051" width="8" style="391"/>
    <col min="2052" max="2052" width="77.33203125" style="391" bestFit="1" customWidth="1"/>
    <col min="2053" max="2053" width="11" style="391" customWidth="1"/>
    <col min="2054" max="2054" width="10.6640625" style="391" customWidth="1"/>
    <col min="2055" max="2055" width="14.1640625" style="391" customWidth="1"/>
    <col min="2056" max="2056" width="13.5" style="391" customWidth="1"/>
    <col min="2057" max="2057" width="92.83203125" style="391" bestFit="1" customWidth="1"/>
    <col min="2058" max="2303" width="10.6640625" style="391" customWidth="1"/>
    <col min="2304" max="2304" width="9.6640625" style="391" bestFit="1" customWidth="1"/>
    <col min="2305" max="2305" width="8" style="391"/>
    <col min="2306" max="2306" width="9.6640625" style="391" bestFit="1" customWidth="1"/>
    <col min="2307" max="2307" width="8" style="391"/>
    <col min="2308" max="2308" width="77.33203125" style="391" bestFit="1" customWidth="1"/>
    <col min="2309" max="2309" width="11" style="391" customWidth="1"/>
    <col min="2310" max="2310" width="10.6640625" style="391" customWidth="1"/>
    <col min="2311" max="2311" width="14.1640625" style="391" customWidth="1"/>
    <col min="2312" max="2312" width="13.5" style="391" customWidth="1"/>
    <col min="2313" max="2313" width="92.83203125" style="391" bestFit="1" customWidth="1"/>
    <col min="2314" max="2559" width="10.6640625" style="391" customWidth="1"/>
    <col min="2560" max="2560" width="9.6640625" style="391" bestFit="1" customWidth="1"/>
    <col min="2561" max="2561" width="8" style="391"/>
    <col min="2562" max="2562" width="9.6640625" style="391" bestFit="1" customWidth="1"/>
    <col min="2563" max="2563" width="8" style="391"/>
    <col min="2564" max="2564" width="77.33203125" style="391" bestFit="1" customWidth="1"/>
    <col min="2565" max="2565" width="11" style="391" customWidth="1"/>
    <col min="2566" max="2566" width="10.6640625" style="391" customWidth="1"/>
    <col min="2567" max="2567" width="14.1640625" style="391" customWidth="1"/>
    <col min="2568" max="2568" width="13.5" style="391" customWidth="1"/>
    <col min="2569" max="2569" width="92.83203125" style="391" bestFit="1" customWidth="1"/>
    <col min="2570" max="2815" width="10.6640625" style="391" customWidth="1"/>
    <col min="2816" max="2816" width="9.6640625" style="391" bestFit="1" customWidth="1"/>
    <col min="2817" max="2817" width="8" style="391"/>
    <col min="2818" max="2818" width="9.6640625" style="391" bestFit="1" customWidth="1"/>
    <col min="2819" max="2819" width="8" style="391"/>
    <col min="2820" max="2820" width="77.33203125" style="391" bestFit="1" customWidth="1"/>
    <col min="2821" max="2821" width="11" style="391" customWidth="1"/>
    <col min="2822" max="2822" width="10.6640625" style="391" customWidth="1"/>
    <col min="2823" max="2823" width="14.1640625" style="391" customWidth="1"/>
    <col min="2824" max="2824" width="13.5" style="391" customWidth="1"/>
    <col min="2825" max="2825" width="92.83203125" style="391" bestFit="1" customWidth="1"/>
    <col min="2826" max="3071" width="10.6640625" style="391" customWidth="1"/>
    <col min="3072" max="3072" width="9.6640625" style="391" bestFit="1" customWidth="1"/>
    <col min="3073" max="3073" width="8" style="391"/>
    <col min="3074" max="3074" width="9.6640625" style="391" bestFit="1" customWidth="1"/>
    <col min="3075" max="3075" width="8" style="391"/>
    <col min="3076" max="3076" width="77.33203125" style="391" bestFit="1" customWidth="1"/>
    <col min="3077" max="3077" width="11" style="391" customWidth="1"/>
    <col min="3078" max="3078" width="10.6640625" style="391" customWidth="1"/>
    <col min="3079" max="3079" width="14.1640625" style="391" customWidth="1"/>
    <col min="3080" max="3080" width="13.5" style="391" customWidth="1"/>
    <col min="3081" max="3081" width="92.83203125" style="391" bestFit="1" customWidth="1"/>
    <col min="3082" max="3327" width="10.6640625" style="391" customWidth="1"/>
    <col min="3328" max="3328" width="9.6640625" style="391" bestFit="1" customWidth="1"/>
    <col min="3329" max="3329" width="8" style="391"/>
    <col min="3330" max="3330" width="9.6640625" style="391" bestFit="1" customWidth="1"/>
    <col min="3331" max="3331" width="8" style="391"/>
    <col min="3332" max="3332" width="77.33203125" style="391" bestFit="1" customWidth="1"/>
    <col min="3333" max="3333" width="11" style="391" customWidth="1"/>
    <col min="3334" max="3334" width="10.6640625" style="391" customWidth="1"/>
    <col min="3335" max="3335" width="14.1640625" style="391" customWidth="1"/>
    <col min="3336" max="3336" width="13.5" style="391" customWidth="1"/>
    <col min="3337" max="3337" width="92.83203125" style="391" bestFit="1" customWidth="1"/>
    <col min="3338" max="3583" width="10.6640625" style="391" customWidth="1"/>
    <col min="3584" max="3584" width="9.6640625" style="391" bestFit="1" customWidth="1"/>
    <col min="3585" max="3585" width="8" style="391"/>
    <col min="3586" max="3586" width="9.6640625" style="391" bestFit="1" customWidth="1"/>
    <col min="3587" max="3587" width="8" style="391"/>
    <col min="3588" max="3588" width="77.33203125" style="391" bestFit="1" customWidth="1"/>
    <col min="3589" max="3589" width="11" style="391" customWidth="1"/>
    <col min="3590" max="3590" width="10.6640625" style="391" customWidth="1"/>
    <col min="3591" max="3591" width="14.1640625" style="391" customWidth="1"/>
    <col min="3592" max="3592" width="13.5" style="391" customWidth="1"/>
    <col min="3593" max="3593" width="92.83203125" style="391" bestFit="1" customWidth="1"/>
    <col min="3594" max="3839" width="10.6640625" style="391" customWidth="1"/>
    <col min="3840" max="3840" width="9.6640625" style="391" bestFit="1" customWidth="1"/>
    <col min="3841" max="3841" width="8" style="391"/>
    <col min="3842" max="3842" width="9.6640625" style="391" bestFit="1" customWidth="1"/>
    <col min="3843" max="3843" width="8" style="391"/>
    <col min="3844" max="3844" width="77.33203125" style="391" bestFit="1" customWidth="1"/>
    <col min="3845" max="3845" width="11" style="391" customWidth="1"/>
    <col min="3846" max="3846" width="10.6640625" style="391" customWidth="1"/>
    <col min="3847" max="3847" width="14.1640625" style="391" customWidth="1"/>
    <col min="3848" max="3848" width="13.5" style="391" customWidth="1"/>
    <col min="3849" max="3849" width="92.83203125" style="391" bestFit="1" customWidth="1"/>
    <col min="3850" max="4095" width="10.6640625" style="391" customWidth="1"/>
    <col min="4096" max="4096" width="9.6640625" style="391" bestFit="1" customWidth="1"/>
    <col min="4097" max="4097" width="8" style="391"/>
    <col min="4098" max="4098" width="9.6640625" style="391" bestFit="1" customWidth="1"/>
    <col min="4099" max="4099" width="8" style="391"/>
    <col min="4100" max="4100" width="77.33203125" style="391" bestFit="1" customWidth="1"/>
    <col min="4101" max="4101" width="11" style="391" customWidth="1"/>
    <col min="4102" max="4102" width="10.6640625" style="391" customWidth="1"/>
    <col min="4103" max="4103" width="14.1640625" style="391" customWidth="1"/>
    <col min="4104" max="4104" width="13.5" style="391" customWidth="1"/>
    <col min="4105" max="4105" width="92.83203125" style="391" bestFit="1" customWidth="1"/>
    <col min="4106" max="4351" width="10.6640625" style="391" customWidth="1"/>
    <col min="4352" max="4352" width="9.6640625" style="391" bestFit="1" customWidth="1"/>
    <col min="4353" max="4353" width="8" style="391"/>
    <col min="4354" max="4354" width="9.6640625" style="391" bestFit="1" customWidth="1"/>
    <col min="4355" max="4355" width="8" style="391"/>
    <col min="4356" max="4356" width="77.33203125" style="391" bestFit="1" customWidth="1"/>
    <col min="4357" max="4357" width="11" style="391" customWidth="1"/>
    <col min="4358" max="4358" width="10.6640625" style="391" customWidth="1"/>
    <col min="4359" max="4359" width="14.1640625" style="391" customWidth="1"/>
    <col min="4360" max="4360" width="13.5" style="391" customWidth="1"/>
    <col min="4361" max="4361" width="92.83203125" style="391" bestFit="1" customWidth="1"/>
    <col min="4362" max="4607" width="10.6640625" style="391" customWidth="1"/>
    <col min="4608" max="4608" width="9.6640625" style="391" bestFit="1" customWidth="1"/>
    <col min="4609" max="4609" width="8" style="391"/>
    <col min="4610" max="4610" width="9.6640625" style="391" bestFit="1" customWidth="1"/>
    <col min="4611" max="4611" width="8" style="391"/>
    <col min="4612" max="4612" width="77.33203125" style="391" bestFit="1" customWidth="1"/>
    <col min="4613" max="4613" width="11" style="391" customWidth="1"/>
    <col min="4614" max="4614" width="10.6640625" style="391" customWidth="1"/>
    <col min="4615" max="4615" width="14.1640625" style="391" customWidth="1"/>
    <col min="4616" max="4616" width="13.5" style="391" customWidth="1"/>
    <col min="4617" max="4617" width="92.83203125" style="391" bestFit="1" customWidth="1"/>
    <col min="4618" max="4863" width="10.6640625" style="391" customWidth="1"/>
    <col min="4864" max="4864" width="9.6640625" style="391" bestFit="1" customWidth="1"/>
    <col min="4865" max="4865" width="8" style="391"/>
    <col min="4866" max="4866" width="9.6640625" style="391" bestFit="1" customWidth="1"/>
    <col min="4867" max="4867" width="8" style="391"/>
    <col min="4868" max="4868" width="77.33203125" style="391" bestFit="1" customWidth="1"/>
    <col min="4869" max="4869" width="11" style="391" customWidth="1"/>
    <col min="4870" max="4870" width="10.6640625" style="391" customWidth="1"/>
    <col min="4871" max="4871" width="14.1640625" style="391" customWidth="1"/>
    <col min="4872" max="4872" width="13.5" style="391" customWidth="1"/>
    <col min="4873" max="4873" width="92.83203125" style="391" bestFit="1" customWidth="1"/>
    <col min="4874" max="5119" width="10.6640625" style="391" customWidth="1"/>
    <col min="5120" max="5120" width="9.6640625" style="391" bestFit="1" customWidth="1"/>
    <col min="5121" max="5121" width="8" style="391"/>
    <col min="5122" max="5122" width="9.6640625" style="391" bestFit="1" customWidth="1"/>
    <col min="5123" max="5123" width="8" style="391"/>
    <col min="5124" max="5124" width="77.33203125" style="391" bestFit="1" customWidth="1"/>
    <col min="5125" max="5125" width="11" style="391" customWidth="1"/>
    <col min="5126" max="5126" width="10.6640625" style="391" customWidth="1"/>
    <col min="5127" max="5127" width="14.1640625" style="391" customWidth="1"/>
    <col min="5128" max="5128" width="13.5" style="391" customWidth="1"/>
    <col min="5129" max="5129" width="92.83203125" style="391" bestFit="1" customWidth="1"/>
    <col min="5130" max="5375" width="10.6640625" style="391" customWidth="1"/>
    <col min="5376" max="5376" width="9.6640625" style="391" bestFit="1" customWidth="1"/>
    <col min="5377" max="5377" width="8" style="391"/>
    <col min="5378" max="5378" width="9.6640625" style="391" bestFit="1" customWidth="1"/>
    <col min="5379" max="5379" width="8" style="391"/>
    <col min="5380" max="5380" width="77.33203125" style="391" bestFit="1" customWidth="1"/>
    <col min="5381" max="5381" width="11" style="391" customWidth="1"/>
    <col min="5382" max="5382" width="10.6640625" style="391" customWidth="1"/>
    <col min="5383" max="5383" width="14.1640625" style="391" customWidth="1"/>
    <col min="5384" max="5384" width="13.5" style="391" customWidth="1"/>
    <col min="5385" max="5385" width="92.83203125" style="391" bestFit="1" customWidth="1"/>
    <col min="5386" max="5631" width="10.6640625" style="391" customWidth="1"/>
    <col min="5632" max="5632" width="9.6640625" style="391" bestFit="1" customWidth="1"/>
    <col min="5633" max="5633" width="8" style="391"/>
    <col min="5634" max="5634" width="9.6640625" style="391" bestFit="1" customWidth="1"/>
    <col min="5635" max="5635" width="8" style="391"/>
    <col min="5636" max="5636" width="77.33203125" style="391" bestFit="1" customWidth="1"/>
    <col min="5637" max="5637" width="11" style="391" customWidth="1"/>
    <col min="5638" max="5638" width="10.6640625" style="391" customWidth="1"/>
    <col min="5639" max="5639" width="14.1640625" style="391" customWidth="1"/>
    <col min="5640" max="5640" width="13.5" style="391" customWidth="1"/>
    <col min="5641" max="5641" width="92.83203125" style="391" bestFit="1" customWidth="1"/>
    <col min="5642" max="5887" width="10.6640625" style="391" customWidth="1"/>
    <col min="5888" max="5888" width="9.6640625" style="391" bestFit="1" customWidth="1"/>
    <col min="5889" max="5889" width="8" style="391"/>
    <col min="5890" max="5890" width="9.6640625" style="391" bestFit="1" customWidth="1"/>
    <col min="5891" max="5891" width="8" style="391"/>
    <col min="5892" max="5892" width="77.33203125" style="391" bestFit="1" customWidth="1"/>
    <col min="5893" max="5893" width="11" style="391" customWidth="1"/>
    <col min="5894" max="5894" width="10.6640625" style="391" customWidth="1"/>
    <col min="5895" max="5895" width="14.1640625" style="391" customWidth="1"/>
    <col min="5896" max="5896" width="13.5" style="391" customWidth="1"/>
    <col min="5897" max="5897" width="92.83203125" style="391" bestFit="1" customWidth="1"/>
    <col min="5898" max="6143" width="10.6640625" style="391" customWidth="1"/>
    <col min="6144" max="6144" width="9.6640625" style="391" bestFit="1" customWidth="1"/>
    <col min="6145" max="6145" width="8" style="391"/>
    <col min="6146" max="6146" width="9.6640625" style="391" bestFit="1" customWidth="1"/>
    <col min="6147" max="6147" width="8" style="391"/>
    <col min="6148" max="6148" width="77.33203125" style="391" bestFit="1" customWidth="1"/>
    <col min="6149" max="6149" width="11" style="391" customWidth="1"/>
    <col min="6150" max="6150" width="10.6640625" style="391" customWidth="1"/>
    <col min="6151" max="6151" width="14.1640625" style="391" customWidth="1"/>
    <col min="6152" max="6152" width="13.5" style="391" customWidth="1"/>
    <col min="6153" max="6153" width="92.83203125" style="391" bestFit="1" customWidth="1"/>
    <col min="6154" max="6399" width="10.6640625" style="391" customWidth="1"/>
    <col min="6400" max="6400" width="9.6640625" style="391" bestFit="1" customWidth="1"/>
    <col min="6401" max="6401" width="8" style="391"/>
    <col min="6402" max="6402" width="9.6640625" style="391" bestFit="1" customWidth="1"/>
    <col min="6403" max="6403" width="8" style="391"/>
    <col min="6404" max="6404" width="77.33203125" style="391" bestFit="1" customWidth="1"/>
    <col min="6405" max="6405" width="11" style="391" customWidth="1"/>
    <col min="6406" max="6406" width="10.6640625" style="391" customWidth="1"/>
    <col min="6407" max="6407" width="14.1640625" style="391" customWidth="1"/>
    <col min="6408" max="6408" width="13.5" style="391" customWidth="1"/>
    <col min="6409" max="6409" width="92.83203125" style="391" bestFit="1" customWidth="1"/>
    <col min="6410" max="6655" width="10.6640625" style="391" customWidth="1"/>
    <col min="6656" max="6656" width="9.6640625" style="391" bestFit="1" customWidth="1"/>
    <col min="6657" max="6657" width="8" style="391"/>
    <col min="6658" max="6658" width="9.6640625" style="391" bestFit="1" customWidth="1"/>
    <col min="6659" max="6659" width="8" style="391"/>
    <col min="6660" max="6660" width="77.33203125" style="391" bestFit="1" customWidth="1"/>
    <col min="6661" max="6661" width="11" style="391" customWidth="1"/>
    <col min="6662" max="6662" width="10.6640625" style="391" customWidth="1"/>
    <col min="6663" max="6663" width="14.1640625" style="391" customWidth="1"/>
    <col min="6664" max="6664" width="13.5" style="391" customWidth="1"/>
    <col min="6665" max="6665" width="92.83203125" style="391" bestFit="1" customWidth="1"/>
    <col min="6666" max="6911" width="10.6640625" style="391" customWidth="1"/>
    <col min="6912" max="6912" width="9.6640625" style="391" bestFit="1" customWidth="1"/>
    <col min="6913" max="6913" width="8" style="391"/>
    <col min="6914" max="6914" width="9.6640625" style="391" bestFit="1" customWidth="1"/>
    <col min="6915" max="6915" width="8" style="391"/>
    <col min="6916" max="6916" width="77.33203125" style="391" bestFit="1" customWidth="1"/>
    <col min="6917" max="6917" width="11" style="391" customWidth="1"/>
    <col min="6918" max="6918" width="10.6640625" style="391" customWidth="1"/>
    <col min="6919" max="6919" width="14.1640625" style="391" customWidth="1"/>
    <col min="6920" max="6920" width="13.5" style="391" customWidth="1"/>
    <col min="6921" max="6921" width="92.83203125" style="391" bestFit="1" customWidth="1"/>
    <col min="6922" max="7167" width="10.6640625" style="391" customWidth="1"/>
    <col min="7168" max="7168" width="9.6640625" style="391" bestFit="1" customWidth="1"/>
    <col min="7169" max="7169" width="8" style="391"/>
    <col min="7170" max="7170" width="9.6640625" style="391" bestFit="1" customWidth="1"/>
    <col min="7171" max="7171" width="8" style="391"/>
    <col min="7172" max="7172" width="77.33203125" style="391" bestFit="1" customWidth="1"/>
    <col min="7173" max="7173" width="11" style="391" customWidth="1"/>
    <col min="7174" max="7174" width="10.6640625" style="391" customWidth="1"/>
    <col min="7175" max="7175" width="14.1640625" style="391" customWidth="1"/>
    <col min="7176" max="7176" width="13.5" style="391" customWidth="1"/>
    <col min="7177" max="7177" width="92.83203125" style="391" bestFit="1" customWidth="1"/>
    <col min="7178" max="7423" width="10.6640625" style="391" customWidth="1"/>
    <col min="7424" max="7424" width="9.6640625" style="391" bestFit="1" customWidth="1"/>
    <col min="7425" max="7425" width="8" style="391"/>
    <col min="7426" max="7426" width="9.6640625" style="391" bestFit="1" customWidth="1"/>
    <col min="7427" max="7427" width="8" style="391"/>
    <col min="7428" max="7428" width="77.33203125" style="391" bestFit="1" customWidth="1"/>
    <col min="7429" max="7429" width="11" style="391" customWidth="1"/>
    <col min="7430" max="7430" width="10.6640625" style="391" customWidth="1"/>
    <col min="7431" max="7431" width="14.1640625" style="391" customWidth="1"/>
    <col min="7432" max="7432" width="13.5" style="391" customWidth="1"/>
    <col min="7433" max="7433" width="92.83203125" style="391" bestFit="1" customWidth="1"/>
    <col min="7434" max="7679" width="10.6640625" style="391" customWidth="1"/>
    <col min="7680" max="7680" width="9.6640625" style="391" bestFit="1" customWidth="1"/>
    <col min="7681" max="7681" width="8" style="391"/>
    <col min="7682" max="7682" width="9.6640625" style="391" bestFit="1" customWidth="1"/>
    <col min="7683" max="7683" width="8" style="391"/>
    <col min="7684" max="7684" width="77.33203125" style="391" bestFit="1" customWidth="1"/>
    <col min="7685" max="7685" width="11" style="391" customWidth="1"/>
    <col min="7686" max="7686" width="10.6640625" style="391" customWidth="1"/>
    <col min="7687" max="7687" width="14.1640625" style="391" customWidth="1"/>
    <col min="7688" max="7688" width="13.5" style="391" customWidth="1"/>
    <col min="7689" max="7689" width="92.83203125" style="391" bestFit="1" customWidth="1"/>
    <col min="7690" max="7935" width="10.6640625" style="391" customWidth="1"/>
    <col min="7936" max="7936" width="9.6640625" style="391" bestFit="1" customWidth="1"/>
    <col min="7937" max="7937" width="8" style="391"/>
    <col min="7938" max="7938" width="9.6640625" style="391" bestFit="1" customWidth="1"/>
    <col min="7939" max="7939" width="8" style="391"/>
    <col min="7940" max="7940" width="77.33203125" style="391" bestFit="1" customWidth="1"/>
    <col min="7941" max="7941" width="11" style="391" customWidth="1"/>
    <col min="7942" max="7942" width="10.6640625" style="391" customWidth="1"/>
    <col min="7943" max="7943" width="14.1640625" style="391" customWidth="1"/>
    <col min="7944" max="7944" width="13.5" style="391" customWidth="1"/>
    <col min="7945" max="7945" width="92.83203125" style="391" bestFit="1" customWidth="1"/>
    <col min="7946" max="8191" width="10.6640625" style="391" customWidth="1"/>
    <col min="8192" max="8192" width="9.6640625" style="391" bestFit="1" customWidth="1"/>
    <col min="8193" max="8193" width="8" style="391"/>
    <col min="8194" max="8194" width="9.6640625" style="391" bestFit="1" customWidth="1"/>
    <col min="8195" max="8195" width="8" style="391"/>
    <col min="8196" max="8196" width="77.33203125" style="391" bestFit="1" customWidth="1"/>
    <col min="8197" max="8197" width="11" style="391" customWidth="1"/>
    <col min="8198" max="8198" width="10.6640625" style="391" customWidth="1"/>
    <col min="8199" max="8199" width="14.1640625" style="391" customWidth="1"/>
    <col min="8200" max="8200" width="13.5" style="391" customWidth="1"/>
    <col min="8201" max="8201" width="92.83203125" style="391" bestFit="1" customWidth="1"/>
    <col min="8202" max="8447" width="10.6640625" style="391" customWidth="1"/>
    <col min="8448" max="8448" width="9.6640625" style="391" bestFit="1" customWidth="1"/>
    <col min="8449" max="8449" width="8" style="391"/>
    <col min="8450" max="8450" width="9.6640625" style="391" bestFit="1" customWidth="1"/>
    <col min="8451" max="8451" width="8" style="391"/>
    <col min="8452" max="8452" width="77.33203125" style="391" bestFit="1" customWidth="1"/>
    <col min="8453" max="8453" width="11" style="391" customWidth="1"/>
    <col min="8454" max="8454" width="10.6640625" style="391" customWidth="1"/>
    <col min="8455" max="8455" width="14.1640625" style="391" customWidth="1"/>
    <col min="8456" max="8456" width="13.5" style="391" customWidth="1"/>
    <col min="8457" max="8457" width="92.83203125" style="391" bestFit="1" customWidth="1"/>
    <col min="8458" max="8703" width="10.6640625" style="391" customWidth="1"/>
    <col min="8704" max="8704" width="9.6640625" style="391" bestFit="1" customWidth="1"/>
    <col min="8705" max="8705" width="8" style="391"/>
    <col min="8706" max="8706" width="9.6640625" style="391" bestFit="1" customWidth="1"/>
    <col min="8707" max="8707" width="8" style="391"/>
    <col min="8708" max="8708" width="77.33203125" style="391" bestFit="1" customWidth="1"/>
    <col min="8709" max="8709" width="11" style="391" customWidth="1"/>
    <col min="8710" max="8710" width="10.6640625" style="391" customWidth="1"/>
    <col min="8711" max="8711" width="14.1640625" style="391" customWidth="1"/>
    <col min="8712" max="8712" width="13.5" style="391" customWidth="1"/>
    <col min="8713" max="8713" width="92.83203125" style="391" bestFit="1" customWidth="1"/>
    <col min="8714" max="8959" width="10.6640625" style="391" customWidth="1"/>
    <col min="8960" max="8960" width="9.6640625" style="391" bestFit="1" customWidth="1"/>
    <col min="8961" max="8961" width="8" style="391"/>
    <col min="8962" max="8962" width="9.6640625" style="391" bestFit="1" customWidth="1"/>
    <col min="8963" max="8963" width="8" style="391"/>
    <col min="8964" max="8964" width="77.33203125" style="391" bestFit="1" customWidth="1"/>
    <col min="8965" max="8965" width="11" style="391" customWidth="1"/>
    <col min="8966" max="8966" width="10.6640625" style="391" customWidth="1"/>
    <col min="8967" max="8967" width="14.1640625" style="391" customWidth="1"/>
    <col min="8968" max="8968" width="13.5" style="391" customWidth="1"/>
    <col min="8969" max="8969" width="92.83203125" style="391" bestFit="1" customWidth="1"/>
    <col min="8970" max="9215" width="10.6640625" style="391" customWidth="1"/>
    <col min="9216" max="9216" width="9.6640625" style="391" bestFit="1" customWidth="1"/>
    <col min="9217" max="9217" width="8" style="391"/>
    <col min="9218" max="9218" width="9.6640625" style="391" bestFit="1" customWidth="1"/>
    <col min="9219" max="9219" width="8" style="391"/>
    <col min="9220" max="9220" width="77.33203125" style="391" bestFit="1" customWidth="1"/>
    <col min="9221" max="9221" width="11" style="391" customWidth="1"/>
    <col min="9222" max="9222" width="10.6640625" style="391" customWidth="1"/>
    <col min="9223" max="9223" width="14.1640625" style="391" customWidth="1"/>
    <col min="9224" max="9224" width="13.5" style="391" customWidth="1"/>
    <col min="9225" max="9225" width="92.83203125" style="391" bestFit="1" customWidth="1"/>
    <col min="9226" max="9471" width="10.6640625" style="391" customWidth="1"/>
    <col min="9472" max="9472" width="9.6640625" style="391" bestFit="1" customWidth="1"/>
    <col min="9473" max="9473" width="8" style="391"/>
    <col min="9474" max="9474" width="9.6640625" style="391" bestFit="1" customWidth="1"/>
    <col min="9475" max="9475" width="8" style="391"/>
    <col min="9476" max="9476" width="77.33203125" style="391" bestFit="1" customWidth="1"/>
    <col min="9477" max="9477" width="11" style="391" customWidth="1"/>
    <col min="9478" max="9478" width="10.6640625" style="391" customWidth="1"/>
    <col min="9479" max="9479" width="14.1640625" style="391" customWidth="1"/>
    <col min="9480" max="9480" width="13.5" style="391" customWidth="1"/>
    <col min="9481" max="9481" width="92.83203125" style="391" bestFit="1" customWidth="1"/>
    <col min="9482" max="9727" width="10.6640625" style="391" customWidth="1"/>
    <col min="9728" max="9728" width="9.6640625" style="391" bestFit="1" customWidth="1"/>
    <col min="9729" max="9729" width="8" style="391"/>
    <col min="9730" max="9730" width="9.6640625" style="391" bestFit="1" customWidth="1"/>
    <col min="9731" max="9731" width="8" style="391"/>
    <col min="9732" max="9732" width="77.33203125" style="391" bestFit="1" customWidth="1"/>
    <col min="9733" max="9733" width="11" style="391" customWidth="1"/>
    <col min="9734" max="9734" width="10.6640625" style="391" customWidth="1"/>
    <col min="9735" max="9735" width="14.1640625" style="391" customWidth="1"/>
    <col min="9736" max="9736" width="13.5" style="391" customWidth="1"/>
    <col min="9737" max="9737" width="92.83203125" style="391" bestFit="1" customWidth="1"/>
    <col min="9738" max="9983" width="10.6640625" style="391" customWidth="1"/>
    <col min="9984" max="9984" width="9.6640625" style="391" bestFit="1" customWidth="1"/>
    <col min="9985" max="9985" width="8" style="391"/>
    <col min="9986" max="9986" width="9.6640625" style="391" bestFit="1" customWidth="1"/>
    <col min="9987" max="9987" width="8" style="391"/>
    <col min="9988" max="9988" width="77.33203125" style="391" bestFit="1" customWidth="1"/>
    <col min="9989" max="9989" width="11" style="391" customWidth="1"/>
    <col min="9990" max="9990" width="10.6640625" style="391" customWidth="1"/>
    <col min="9991" max="9991" width="14.1640625" style="391" customWidth="1"/>
    <col min="9992" max="9992" width="13.5" style="391" customWidth="1"/>
    <col min="9993" max="9993" width="92.83203125" style="391" bestFit="1" customWidth="1"/>
    <col min="9994" max="10239" width="10.6640625" style="391" customWidth="1"/>
    <col min="10240" max="10240" width="9.6640625" style="391" bestFit="1" customWidth="1"/>
    <col min="10241" max="10241" width="8" style="391"/>
    <col min="10242" max="10242" width="9.6640625" style="391" bestFit="1" customWidth="1"/>
    <col min="10243" max="10243" width="8" style="391"/>
    <col min="10244" max="10244" width="77.33203125" style="391" bestFit="1" customWidth="1"/>
    <col min="10245" max="10245" width="11" style="391" customWidth="1"/>
    <col min="10246" max="10246" width="10.6640625" style="391" customWidth="1"/>
    <col min="10247" max="10247" width="14.1640625" style="391" customWidth="1"/>
    <col min="10248" max="10248" width="13.5" style="391" customWidth="1"/>
    <col min="10249" max="10249" width="92.83203125" style="391" bestFit="1" customWidth="1"/>
    <col min="10250" max="10495" width="10.6640625" style="391" customWidth="1"/>
    <col min="10496" max="10496" width="9.6640625" style="391" bestFit="1" customWidth="1"/>
    <col min="10497" max="10497" width="8" style="391"/>
    <col min="10498" max="10498" width="9.6640625" style="391" bestFit="1" customWidth="1"/>
    <col min="10499" max="10499" width="8" style="391"/>
    <col min="10500" max="10500" width="77.33203125" style="391" bestFit="1" customWidth="1"/>
    <col min="10501" max="10501" width="11" style="391" customWidth="1"/>
    <col min="10502" max="10502" width="10.6640625" style="391" customWidth="1"/>
    <col min="10503" max="10503" width="14.1640625" style="391" customWidth="1"/>
    <col min="10504" max="10504" width="13.5" style="391" customWidth="1"/>
    <col min="10505" max="10505" width="92.83203125" style="391" bestFit="1" customWidth="1"/>
    <col min="10506" max="10751" width="10.6640625" style="391" customWidth="1"/>
    <col min="10752" max="10752" width="9.6640625" style="391" bestFit="1" customWidth="1"/>
    <col min="10753" max="10753" width="8" style="391"/>
    <col min="10754" max="10754" width="9.6640625" style="391" bestFit="1" customWidth="1"/>
    <col min="10755" max="10755" width="8" style="391"/>
    <col min="10756" max="10756" width="77.33203125" style="391" bestFit="1" customWidth="1"/>
    <col min="10757" max="10757" width="11" style="391" customWidth="1"/>
    <col min="10758" max="10758" width="10.6640625" style="391" customWidth="1"/>
    <col min="10759" max="10759" width="14.1640625" style="391" customWidth="1"/>
    <col min="10760" max="10760" width="13.5" style="391" customWidth="1"/>
    <col min="10761" max="10761" width="92.83203125" style="391" bestFit="1" customWidth="1"/>
    <col min="10762" max="11007" width="10.6640625" style="391" customWidth="1"/>
    <col min="11008" max="11008" width="9.6640625" style="391" bestFit="1" customWidth="1"/>
    <col min="11009" max="11009" width="8" style="391"/>
    <col min="11010" max="11010" width="9.6640625" style="391" bestFit="1" customWidth="1"/>
    <col min="11011" max="11011" width="8" style="391"/>
    <col min="11012" max="11012" width="77.33203125" style="391" bestFit="1" customWidth="1"/>
    <col min="11013" max="11013" width="11" style="391" customWidth="1"/>
    <col min="11014" max="11014" width="10.6640625" style="391" customWidth="1"/>
    <col min="11015" max="11015" width="14.1640625" style="391" customWidth="1"/>
    <col min="11016" max="11016" width="13.5" style="391" customWidth="1"/>
    <col min="11017" max="11017" width="92.83203125" style="391" bestFit="1" customWidth="1"/>
    <col min="11018" max="11263" width="10.6640625" style="391" customWidth="1"/>
    <col min="11264" max="11264" width="9.6640625" style="391" bestFit="1" customWidth="1"/>
    <col min="11265" max="11265" width="8" style="391"/>
    <col min="11266" max="11266" width="9.6640625" style="391" bestFit="1" customWidth="1"/>
    <col min="11267" max="11267" width="8" style="391"/>
    <col min="11268" max="11268" width="77.33203125" style="391" bestFit="1" customWidth="1"/>
    <col min="11269" max="11269" width="11" style="391" customWidth="1"/>
    <col min="11270" max="11270" width="10.6640625" style="391" customWidth="1"/>
    <col min="11271" max="11271" width="14.1640625" style="391" customWidth="1"/>
    <col min="11272" max="11272" width="13.5" style="391" customWidth="1"/>
    <col min="11273" max="11273" width="92.83203125" style="391" bestFit="1" customWidth="1"/>
    <col min="11274" max="11519" width="10.6640625" style="391" customWidth="1"/>
    <col min="11520" max="11520" width="9.6640625" style="391" bestFit="1" customWidth="1"/>
    <col min="11521" max="11521" width="8" style="391"/>
    <col min="11522" max="11522" width="9.6640625" style="391" bestFit="1" customWidth="1"/>
    <col min="11523" max="11523" width="8" style="391"/>
    <col min="11524" max="11524" width="77.33203125" style="391" bestFit="1" customWidth="1"/>
    <col min="11525" max="11525" width="11" style="391" customWidth="1"/>
    <col min="11526" max="11526" width="10.6640625" style="391" customWidth="1"/>
    <col min="11527" max="11527" width="14.1640625" style="391" customWidth="1"/>
    <col min="11528" max="11528" width="13.5" style="391" customWidth="1"/>
    <col min="11529" max="11529" width="92.83203125" style="391" bestFit="1" customWidth="1"/>
    <col min="11530" max="11775" width="10.6640625" style="391" customWidth="1"/>
    <col min="11776" max="11776" width="9.6640625" style="391" bestFit="1" customWidth="1"/>
    <col min="11777" max="11777" width="8" style="391"/>
    <col min="11778" max="11778" width="9.6640625" style="391" bestFit="1" customWidth="1"/>
    <col min="11779" max="11779" width="8" style="391"/>
    <col min="11780" max="11780" width="77.33203125" style="391" bestFit="1" customWidth="1"/>
    <col min="11781" max="11781" width="11" style="391" customWidth="1"/>
    <col min="11782" max="11782" width="10.6640625" style="391" customWidth="1"/>
    <col min="11783" max="11783" width="14.1640625" style="391" customWidth="1"/>
    <col min="11784" max="11784" width="13.5" style="391" customWidth="1"/>
    <col min="11785" max="11785" width="92.83203125" style="391" bestFit="1" customWidth="1"/>
    <col min="11786" max="12031" width="10.6640625" style="391" customWidth="1"/>
    <col min="12032" max="12032" width="9.6640625" style="391" bestFit="1" customWidth="1"/>
    <col min="12033" max="12033" width="8" style="391"/>
    <col min="12034" max="12034" width="9.6640625" style="391" bestFit="1" customWidth="1"/>
    <col min="12035" max="12035" width="8" style="391"/>
    <col min="12036" max="12036" width="77.33203125" style="391" bestFit="1" customWidth="1"/>
    <col min="12037" max="12037" width="11" style="391" customWidth="1"/>
    <col min="12038" max="12038" width="10.6640625" style="391" customWidth="1"/>
    <col min="12039" max="12039" width="14.1640625" style="391" customWidth="1"/>
    <col min="12040" max="12040" width="13.5" style="391" customWidth="1"/>
    <col min="12041" max="12041" width="92.83203125" style="391" bestFit="1" customWidth="1"/>
    <col min="12042" max="12287" width="10.6640625" style="391" customWidth="1"/>
    <col min="12288" max="12288" width="9.6640625" style="391" bestFit="1" customWidth="1"/>
    <col min="12289" max="12289" width="8" style="391"/>
    <col min="12290" max="12290" width="9.6640625" style="391" bestFit="1" customWidth="1"/>
    <col min="12291" max="12291" width="8" style="391"/>
    <col min="12292" max="12292" width="77.33203125" style="391" bestFit="1" customWidth="1"/>
    <col min="12293" max="12293" width="11" style="391" customWidth="1"/>
    <col min="12294" max="12294" width="10.6640625" style="391" customWidth="1"/>
    <col min="12295" max="12295" width="14.1640625" style="391" customWidth="1"/>
    <col min="12296" max="12296" width="13.5" style="391" customWidth="1"/>
    <col min="12297" max="12297" width="92.83203125" style="391" bestFit="1" customWidth="1"/>
    <col min="12298" max="12543" width="10.6640625" style="391" customWidth="1"/>
    <col min="12544" max="12544" width="9.6640625" style="391" bestFit="1" customWidth="1"/>
    <col min="12545" max="12545" width="8" style="391"/>
    <col min="12546" max="12546" width="9.6640625" style="391" bestFit="1" customWidth="1"/>
    <col min="12547" max="12547" width="8" style="391"/>
    <col min="12548" max="12548" width="77.33203125" style="391" bestFit="1" customWidth="1"/>
    <col min="12549" max="12549" width="11" style="391" customWidth="1"/>
    <col min="12550" max="12550" width="10.6640625" style="391" customWidth="1"/>
    <col min="12551" max="12551" width="14.1640625" style="391" customWidth="1"/>
    <col min="12552" max="12552" width="13.5" style="391" customWidth="1"/>
    <col min="12553" max="12553" width="92.83203125" style="391" bestFit="1" customWidth="1"/>
    <col min="12554" max="12799" width="10.6640625" style="391" customWidth="1"/>
    <col min="12800" max="12800" width="9.6640625" style="391" bestFit="1" customWidth="1"/>
    <col min="12801" max="12801" width="8" style="391"/>
    <col min="12802" max="12802" width="9.6640625" style="391" bestFit="1" customWidth="1"/>
    <col min="12803" max="12803" width="8" style="391"/>
    <col min="12804" max="12804" width="77.33203125" style="391" bestFit="1" customWidth="1"/>
    <col min="12805" max="12805" width="11" style="391" customWidth="1"/>
    <col min="12806" max="12806" width="10.6640625" style="391" customWidth="1"/>
    <col min="12807" max="12807" width="14.1640625" style="391" customWidth="1"/>
    <col min="12808" max="12808" width="13.5" style="391" customWidth="1"/>
    <col min="12809" max="12809" width="92.83203125" style="391" bestFit="1" customWidth="1"/>
    <col min="12810" max="13055" width="10.6640625" style="391" customWidth="1"/>
    <col min="13056" max="13056" width="9.6640625" style="391" bestFit="1" customWidth="1"/>
    <col min="13057" max="13057" width="8" style="391"/>
    <col min="13058" max="13058" width="9.6640625" style="391" bestFit="1" customWidth="1"/>
    <col min="13059" max="13059" width="8" style="391"/>
    <col min="13060" max="13060" width="77.33203125" style="391" bestFit="1" customWidth="1"/>
    <col min="13061" max="13061" width="11" style="391" customWidth="1"/>
    <col min="13062" max="13062" width="10.6640625" style="391" customWidth="1"/>
    <col min="13063" max="13063" width="14.1640625" style="391" customWidth="1"/>
    <col min="13064" max="13064" width="13.5" style="391" customWidth="1"/>
    <col min="13065" max="13065" width="92.83203125" style="391" bestFit="1" customWidth="1"/>
    <col min="13066" max="13311" width="10.6640625" style="391" customWidth="1"/>
    <col min="13312" max="13312" width="9.6640625" style="391" bestFit="1" customWidth="1"/>
    <col min="13313" max="13313" width="8" style="391"/>
    <col min="13314" max="13314" width="9.6640625" style="391" bestFit="1" customWidth="1"/>
    <col min="13315" max="13315" width="8" style="391"/>
    <col min="13316" max="13316" width="77.33203125" style="391" bestFit="1" customWidth="1"/>
    <col min="13317" max="13317" width="11" style="391" customWidth="1"/>
    <col min="13318" max="13318" width="10.6640625" style="391" customWidth="1"/>
    <col min="13319" max="13319" width="14.1640625" style="391" customWidth="1"/>
    <col min="13320" max="13320" width="13.5" style="391" customWidth="1"/>
    <col min="13321" max="13321" width="92.83203125" style="391" bestFit="1" customWidth="1"/>
    <col min="13322" max="13567" width="10.6640625" style="391" customWidth="1"/>
    <col min="13568" max="13568" width="9.6640625" style="391" bestFit="1" customWidth="1"/>
    <col min="13569" max="13569" width="8" style="391"/>
    <col min="13570" max="13570" width="9.6640625" style="391" bestFit="1" customWidth="1"/>
    <col min="13571" max="13571" width="8" style="391"/>
    <col min="13572" max="13572" width="77.33203125" style="391" bestFit="1" customWidth="1"/>
    <col min="13573" max="13573" width="11" style="391" customWidth="1"/>
    <col min="13574" max="13574" width="10.6640625" style="391" customWidth="1"/>
    <col min="13575" max="13575" width="14.1640625" style="391" customWidth="1"/>
    <col min="13576" max="13576" width="13.5" style="391" customWidth="1"/>
    <col min="13577" max="13577" width="92.83203125" style="391" bestFit="1" customWidth="1"/>
    <col min="13578" max="13823" width="10.6640625" style="391" customWidth="1"/>
    <col min="13824" max="13824" width="9.6640625" style="391" bestFit="1" customWidth="1"/>
    <col min="13825" max="13825" width="8" style="391"/>
    <col min="13826" max="13826" width="9.6640625" style="391" bestFit="1" customWidth="1"/>
    <col min="13827" max="13827" width="8" style="391"/>
    <col min="13828" max="13828" width="77.33203125" style="391" bestFit="1" customWidth="1"/>
    <col min="13829" max="13829" width="11" style="391" customWidth="1"/>
    <col min="13830" max="13830" width="10.6640625" style="391" customWidth="1"/>
    <col min="13831" max="13831" width="14.1640625" style="391" customWidth="1"/>
    <col min="13832" max="13832" width="13.5" style="391" customWidth="1"/>
    <col min="13833" max="13833" width="92.83203125" style="391" bestFit="1" customWidth="1"/>
    <col min="13834" max="14079" width="10.6640625" style="391" customWidth="1"/>
    <col min="14080" max="14080" width="9.6640625" style="391" bestFit="1" customWidth="1"/>
    <col min="14081" max="14081" width="8" style="391"/>
    <col min="14082" max="14082" width="9.6640625" style="391" bestFit="1" customWidth="1"/>
    <col min="14083" max="14083" width="8" style="391"/>
    <col min="14084" max="14084" width="77.33203125" style="391" bestFit="1" customWidth="1"/>
    <col min="14085" max="14085" width="11" style="391" customWidth="1"/>
    <col min="14086" max="14086" width="10.6640625" style="391" customWidth="1"/>
    <col min="14087" max="14087" width="14.1640625" style="391" customWidth="1"/>
    <col min="14088" max="14088" width="13.5" style="391" customWidth="1"/>
    <col min="14089" max="14089" width="92.83203125" style="391" bestFit="1" customWidth="1"/>
    <col min="14090" max="14335" width="10.6640625" style="391" customWidth="1"/>
    <col min="14336" max="14336" width="9.6640625" style="391" bestFit="1" customWidth="1"/>
    <col min="14337" max="14337" width="8" style="391"/>
    <col min="14338" max="14338" width="9.6640625" style="391" bestFit="1" customWidth="1"/>
    <col min="14339" max="14339" width="8" style="391"/>
    <col min="14340" max="14340" width="77.33203125" style="391" bestFit="1" customWidth="1"/>
    <col min="14341" max="14341" width="11" style="391" customWidth="1"/>
    <col min="14342" max="14342" width="10.6640625" style="391" customWidth="1"/>
    <col min="14343" max="14343" width="14.1640625" style="391" customWidth="1"/>
    <col min="14344" max="14344" width="13.5" style="391" customWidth="1"/>
    <col min="14345" max="14345" width="92.83203125" style="391" bestFit="1" customWidth="1"/>
    <col min="14346" max="14591" width="10.6640625" style="391" customWidth="1"/>
    <col min="14592" max="14592" width="9.6640625" style="391" bestFit="1" customWidth="1"/>
    <col min="14593" max="14593" width="8" style="391"/>
    <col min="14594" max="14594" width="9.6640625" style="391" bestFit="1" customWidth="1"/>
    <col min="14595" max="14595" width="8" style="391"/>
    <col min="14596" max="14596" width="77.33203125" style="391" bestFit="1" customWidth="1"/>
    <col min="14597" max="14597" width="11" style="391" customWidth="1"/>
    <col min="14598" max="14598" width="10.6640625" style="391" customWidth="1"/>
    <col min="14599" max="14599" width="14.1640625" style="391" customWidth="1"/>
    <col min="14600" max="14600" width="13.5" style="391" customWidth="1"/>
    <col min="14601" max="14601" width="92.83203125" style="391" bestFit="1" customWidth="1"/>
    <col min="14602" max="14847" width="10.6640625" style="391" customWidth="1"/>
    <col min="14848" max="14848" width="9.6640625" style="391" bestFit="1" customWidth="1"/>
    <col min="14849" max="14849" width="8" style="391"/>
    <col min="14850" max="14850" width="9.6640625" style="391" bestFit="1" customWidth="1"/>
    <col min="14851" max="14851" width="8" style="391"/>
    <col min="14852" max="14852" width="77.33203125" style="391" bestFit="1" customWidth="1"/>
    <col min="14853" max="14853" width="11" style="391" customWidth="1"/>
    <col min="14854" max="14854" width="10.6640625" style="391" customWidth="1"/>
    <col min="14855" max="14855" width="14.1640625" style="391" customWidth="1"/>
    <col min="14856" max="14856" width="13.5" style="391" customWidth="1"/>
    <col min="14857" max="14857" width="92.83203125" style="391" bestFit="1" customWidth="1"/>
    <col min="14858" max="15103" width="10.6640625" style="391" customWidth="1"/>
    <col min="15104" max="15104" width="9.6640625" style="391" bestFit="1" customWidth="1"/>
    <col min="15105" max="15105" width="8" style="391"/>
    <col min="15106" max="15106" width="9.6640625" style="391" bestFit="1" customWidth="1"/>
    <col min="15107" max="15107" width="8" style="391"/>
    <col min="15108" max="15108" width="77.33203125" style="391" bestFit="1" customWidth="1"/>
    <col min="15109" max="15109" width="11" style="391" customWidth="1"/>
    <col min="15110" max="15110" width="10.6640625" style="391" customWidth="1"/>
    <col min="15111" max="15111" width="14.1640625" style="391" customWidth="1"/>
    <col min="15112" max="15112" width="13.5" style="391" customWidth="1"/>
    <col min="15113" max="15113" width="92.83203125" style="391" bestFit="1" customWidth="1"/>
    <col min="15114" max="15359" width="10.6640625" style="391" customWidth="1"/>
    <col min="15360" max="15360" width="9.6640625" style="391" bestFit="1" customWidth="1"/>
    <col min="15361" max="15361" width="8" style="391"/>
    <col min="15362" max="15362" width="9.6640625" style="391" bestFit="1" customWidth="1"/>
    <col min="15363" max="15363" width="8" style="391"/>
    <col min="15364" max="15364" width="77.33203125" style="391" bestFit="1" customWidth="1"/>
    <col min="15365" max="15365" width="11" style="391" customWidth="1"/>
    <col min="15366" max="15366" width="10.6640625" style="391" customWidth="1"/>
    <col min="15367" max="15367" width="14.1640625" style="391" customWidth="1"/>
    <col min="15368" max="15368" width="13.5" style="391" customWidth="1"/>
    <col min="15369" max="15369" width="92.83203125" style="391" bestFit="1" customWidth="1"/>
    <col min="15370" max="15615" width="10.6640625" style="391" customWidth="1"/>
    <col min="15616" max="15616" width="9.6640625" style="391" bestFit="1" customWidth="1"/>
    <col min="15617" max="15617" width="8" style="391"/>
    <col min="15618" max="15618" width="9.6640625" style="391" bestFit="1" customWidth="1"/>
    <col min="15619" max="15619" width="8" style="391"/>
    <col min="15620" max="15620" width="77.33203125" style="391" bestFit="1" customWidth="1"/>
    <col min="15621" max="15621" width="11" style="391" customWidth="1"/>
    <col min="15622" max="15622" width="10.6640625" style="391" customWidth="1"/>
    <col min="15623" max="15623" width="14.1640625" style="391" customWidth="1"/>
    <col min="15624" max="15624" width="13.5" style="391" customWidth="1"/>
    <col min="15625" max="15625" width="92.83203125" style="391" bestFit="1" customWidth="1"/>
    <col min="15626" max="15871" width="10.6640625" style="391" customWidth="1"/>
    <col min="15872" max="15872" width="9.6640625" style="391" bestFit="1" customWidth="1"/>
    <col min="15873" max="15873" width="8" style="391"/>
    <col min="15874" max="15874" width="9.6640625" style="391" bestFit="1" customWidth="1"/>
    <col min="15875" max="15875" width="8" style="391"/>
    <col min="15876" max="15876" width="77.33203125" style="391" bestFit="1" customWidth="1"/>
    <col min="15877" max="15877" width="11" style="391" customWidth="1"/>
    <col min="15878" max="15878" width="10.6640625" style="391" customWidth="1"/>
    <col min="15879" max="15879" width="14.1640625" style="391" customWidth="1"/>
    <col min="15880" max="15880" width="13.5" style="391" customWidth="1"/>
    <col min="15881" max="15881" width="92.83203125" style="391" bestFit="1" customWidth="1"/>
    <col min="15882" max="16127" width="10.6640625" style="391" customWidth="1"/>
    <col min="16128" max="16128" width="9.6640625" style="391" bestFit="1" customWidth="1"/>
    <col min="16129" max="16129" width="8" style="391"/>
    <col min="16130" max="16130" width="9.6640625" style="391" bestFit="1" customWidth="1"/>
    <col min="16131" max="16131" width="8" style="391"/>
    <col min="16132" max="16132" width="77.33203125" style="391" bestFit="1" customWidth="1"/>
    <col min="16133" max="16133" width="11" style="391" customWidth="1"/>
    <col min="16134" max="16134" width="10.6640625" style="391" customWidth="1"/>
    <col min="16135" max="16135" width="14.1640625" style="391" customWidth="1"/>
    <col min="16136" max="16136" width="13.5" style="391" customWidth="1"/>
    <col min="16137" max="16137" width="92.83203125" style="391" bestFit="1" customWidth="1"/>
    <col min="16138" max="16384" width="10.6640625" style="391" customWidth="1"/>
  </cols>
  <sheetData>
    <row r="1" spans="1:11" s="321" customFormat="1" ht="16.5" thickTop="1">
      <c r="A1" s="315" t="s">
        <v>299</v>
      </c>
      <c r="B1" s="316"/>
      <c r="C1" s="317" t="s">
        <v>300</v>
      </c>
      <c r="D1" s="318"/>
      <c r="E1" s="318"/>
      <c r="F1" s="319"/>
      <c r="G1" s="319"/>
      <c r="H1" s="319"/>
      <c r="I1" s="320"/>
      <c r="K1" s="322"/>
    </row>
    <row r="2" spans="1:11" s="321" customFormat="1" ht="15.75">
      <c r="A2" s="323" t="s">
        <v>301</v>
      </c>
      <c r="B2" s="324"/>
      <c r="C2" s="325" t="s">
        <v>491</v>
      </c>
      <c r="D2" s="325"/>
      <c r="E2" s="326" t="s">
        <v>303</v>
      </c>
      <c r="F2" s="327"/>
      <c r="G2" s="327"/>
      <c r="H2" s="327"/>
      <c r="I2" s="328"/>
      <c r="K2" s="322"/>
    </row>
    <row r="3" spans="1:11" s="321" customFormat="1" ht="15.75">
      <c r="A3" s="323" t="s">
        <v>305</v>
      </c>
      <c r="B3" s="324"/>
      <c r="C3" s="325" t="s">
        <v>306</v>
      </c>
      <c r="D3" s="325"/>
      <c r="E3" s="326" t="s">
        <v>307</v>
      </c>
      <c r="F3" s="327"/>
      <c r="G3" s="327"/>
      <c r="H3" s="327"/>
      <c r="I3" s="328"/>
      <c r="K3" s="322"/>
    </row>
    <row r="4" spans="1:11" s="321" customFormat="1" ht="16.5" thickBot="1">
      <c r="A4" s="323" t="s">
        <v>308</v>
      </c>
      <c r="B4" s="324"/>
      <c r="C4" s="325" t="s">
        <v>309</v>
      </c>
      <c r="D4" s="325"/>
      <c r="E4" s="325"/>
      <c r="F4" s="327"/>
      <c r="G4" s="327"/>
      <c r="H4" s="327"/>
      <c r="I4" s="328"/>
      <c r="K4" s="322"/>
    </row>
    <row r="5" spans="1:11" s="321" customFormat="1" ht="70.5" customHeight="1" thickTop="1" thickBot="1">
      <c r="A5" s="329" t="s">
        <v>310</v>
      </c>
      <c r="B5" s="330" t="s">
        <v>311</v>
      </c>
      <c r="C5" s="331" t="s">
        <v>46</v>
      </c>
      <c r="D5" s="332" t="s">
        <v>312</v>
      </c>
      <c r="E5" s="330" t="s">
        <v>313</v>
      </c>
      <c r="F5" s="333" t="s">
        <v>314</v>
      </c>
      <c r="G5" s="333" t="s">
        <v>315</v>
      </c>
      <c r="H5" s="334" t="s">
        <v>316</v>
      </c>
      <c r="I5" s="335" t="s">
        <v>317</v>
      </c>
      <c r="K5" s="322"/>
    </row>
    <row r="6" spans="1:11" s="321" customFormat="1" ht="16.5" thickTop="1">
      <c r="A6" s="336" t="s">
        <v>318</v>
      </c>
      <c r="B6" s="337"/>
      <c r="C6" s="338" t="s">
        <v>319</v>
      </c>
      <c r="D6" s="339"/>
      <c r="E6" s="340"/>
      <c r="F6" s="341"/>
      <c r="G6" s="342"/>
      <c r="H6" s="343"/>
      <c r="I6" s="344"/>
      <c r="K6" s="322"/>
    </row>
    <row r="7" spans="1:11" s="321" customFormat="1" ht="47.25">
      <c r="A7" s="345" t="s">
        <v>320</v>
      </c>
      <c r="B7" s="337" t="s">
        <v>492</v>
      </c>
      <c r="C7" s="347" t="s">
        <v>493</v>
      </c>
      <c r="D7" s="337">
        <v>1</v>
      </c>
      <c r="E7" s="337" t="s">
        <v>126</v>
      </c>
      <c r="F7" s="341"/>
      <c r="G7" s="342"/>
      <c r="H7" s="343">
        <f>D7*(F7+G7)</f>
        <v>0</v>
      </c>
      <c r="I7" s="348" t="s">
        <v>494</v>
      </c>
      <c r="K7" s="322"/>
    </row>
    <row r="8" spans="1:11" s="321" customFormat="1" ht="47.25">
      <c r="A8" s="345" t="s">
        <v>324</v>
      </c>
      <c r="B8" s="346" t="s">
        <v>495</v>
      </c>
      <c r="C8" s="347" t="s">
        <v>496</v>
      </c>
      <c r="D8" s="337">
        <v>1</v>
      </c>
      <c r="E8" s="337" t="s">
        <v>126</v>
      </c>
      <c r="F8" s="341"/>
      <c r="G8" s="342"/>
      <c r="H8" s="343">
        <f>D8*(F8+G8)</f>
        <v>0</v>
      </c>
      <c r="I8" s="348" t="s">
        <v>497</v>
      </c>
      <c r="K8" s="322"/>
    </row>
    <row r="9" spans="1:11" s="321" customFormat="1" ht="68.25" customHeight="1">
      <c r="A9" s="345" t="s">
        <v>328</v>
      </c>
      <c r="B9" s="346" t="s">
        <v>498</v>
      </c>
      <c r="C9" s="358" t="s">
        <v>499</v>
      </c>
      <c r="D9" s="337">
        <v>1</v>
      </c>
      <c r="E9" s="337" t="s">
        <v>126</v>
      </c>
      <c r="F9" s="341"/>
      <c r="G9" s="342"/>
      <c r="H9" s="343">
        <f>D9*(F9+G9)</f>
        <v>0</v>
      </c>
      <c r="I9" s="348" t="s">
        <v>500</v>
      </c>
      <c r="K9" s="322"/>
    </row>
    <row r="10" spans="1:11" s="321" customFormat="1" ht="70.5" customHeight="1">
      <c r="A10" s="345" t="s">
        <v>340</v>
      </c>
      <c r="B10" s="346" t="s">
        <v>501</v>
      </c>
      <c r="C10" s="358" t="s">
        <v>502</v>
      </c>
      <c r="D10" s="337">
        <v>1</v>
      </c>
      <c r="E10" s="337" t="s">
        <v>126</v>
      </c>
      <c r="F10" s="341"/>
      <c r="G10" s="342"/>
      <c r="H10" s="343">
        <f>D10*(F10+G10)</f>
        <v>0</v>
      </c>
      <c r="I10" s="348" t="s">
        <v>503</v>
      </c>
      <c r="K10" s="322"/>
    </row>
    <row r="11" spans="1:11" s="321" customFormat="1" ht="50.25" customHeight="1">
      <c r="A11" s="345" t="s">
        <v>351</v>
      </c>
      <c r="B11" s="346" t="s">
        <v>504</v>
      </c>
      <c r="C11" s="358" t="s">
        <v>505</v>
      </c>
      <c r="D11" s="337">
        <v>1</v>
      </c>
      <c r="E11" s="337" t="s">
        <v>126</v>
      </c>
      <c r="F11" s="341"/>
      <c r="G11" s="342"/>
      <c r="H11" s="343">
        <f>D11*(F11+G11)</f>
        <v>0</v>
      </c>
      <c r="I11" s="348" t="s">
        <v>506</v>
      </c>
      <c r="K11" s="322"/>
    </row>
    <row r="12" spans="1:11" s="321" customFormat="1" ht="15.75">
      <c r="A12" s="345"/>
      <c r="B12" s="346"/>
      <c r="C12" s="347"/>
      <c r="D12" s="337"/>
      <c r="E12" s="337"/>
      <c r="F12" s="341"/>
      <c r="G12" s="342"/>
      <c r="H12" s="343"/>
      <c r="I12" s="348"/>
      <c r="K12" s="322"/>
    </row>
    <row r="13" spans="1:11" s="321" customFormat="1" ht="15.75">
      <c r="A13" s="336" t="s">
        <v>318</v>
      </c>
      <c r="B13" s="337"/>
      <c r="C13" s="338" t="s">
        <v>507</v>
      </c>
      <c r="D13" s="337"/>
      <c r="E13" s="337"/>
      <c r="F13" s="341"/>
      <c r="G13" s="342"/>
      <c r="H13" s="343"/>
      <c r="I13" s="348"/>
      <c r="K13" s="322"/>
    </row>
    <row r="14" spans="1:11" s="321" customFormat="1" ht="78.75">
      <c r="A14" s="345" t="s">
        <v>320</v>
      </c>
      <c r="B14" s="346" t="s">
        <v>508</v>
      </c>
      <c r="C14" s="349" t="s">
        <v>509</v>
      </c>
      <c r="D14" s="337">
        <v>1</v>
      </c>
      <c r="E14" s="337" t="s">
        <v>126</v>
      </c>
      <c r="F14" s="341"/>
      <c r="G14" s="342"/>
      <c r="H14" s="343">
        <f t="shared" ref="H14:H77" si="0">D14*(F14+G14)</f>
        <v>0</v>
      </c>
      <c r="I14" s="348" t="s">
        <v>510</v>
      </c>
      <c r="K14" s="389"/>
    </row>
    <row r="15" spans="1:11" s="321" customFormat="1" ht="85.5" customHeight="1">
      <c r="A15" s="345" t="s">
        <v>324</v>
      </c>
      <c r="B15" s="346" t="s">
        <v>511</v>
      </c>
      <c r="C15" s="349" t="s">
        <v>512</v>
      </c>
      <c r="D15" s="337">
        <v>2</v>
      </c>
      <c r="E15" s="337" t="s">
        <v>126</v>
      </c>
      <c r="F15" s="341"/>
      <c r="G15" s="342"/>
      <c r="H15" s="343">
        <f t="shared" si="0"/>
        <v>0</v>
      </c>
      <c r="I15" s="348" t="s">
        <v>335</v>
      </c>
      <c r="K15" s="322"/>
    </row>
    <row r="16" spans="1:11" s="321" customFormat="1" ht="15.75">
      <c r="A16" s="345" t="s">
        <v>328</v>
      </c>
      <c r="B16" s="346" t="s">
        <v>336</v>
      </c>
      <c r="C16" s="350" t="s">
        <v>337</v>
      </c>
      <c r="D16" s="337">
        <v>1</v>
      </c>
      <c r="E16" s="337" t="s">
        <v>126</v>
      </c>
      <c r="F16" s="341"/>
      <c r="G16" s="342"/>
      <c r="H16" s="343">
        <f t="shared" si="0"/>
        <v>0</v>
      </c>
      <c r="I16" s="348" t="s">
        <v>339</v>
      </c>
      <c r="K16" s="322"/>
    </row>
    <row r="17" spans="1:11" s="321" customFormat="1" ht="31.5">
      <c r="A17" s="345" t="s">
        <v>340</v>
      </c>
      <c r="B17" s="346" t="s">
        <v>341</v>
      </c>
      <c r="C17" s="349" t="s">
        <v>342</v>
      </c>
      <c r="D17" s="337">
        <v>1</v>
      </c>
      <c r="E17" s="337" t="s">
        <v>126</v>
      </c>
      <c r="F17" s="341"/>
      <c r="G17" s="342"/>
      <c r="H17" s="343">
        <f t="shared" si="0"/>
        <v>0</v>
      </c>
      <c r="I17" s="348" t="s">
        <v>343</v>
      </c>
      <c r="K17" s="322"/>
    </row>
    <row r="18" spans="1:11" s="321" customFormat="1" ht="15.75">
      <c r="A18" s="345" t="s">
        <v>351</v>
      </c>
      <c r="B18" s="346" t="s">
        <v>513</v>
      </c>
      <c r="C18" s="349" t="s">
        <v>514</v>
      </c>
      <c r="D18" s="337">
        <v>1</v>
      </c>
      <c r="E18" s="337" t="s">
        <v>126</v>
      </c>
      <c r="F18" s="341"/>
      <c r="G18" s="342"/>
      <c r="H18" s="343">
        <f t="shared" si="0"/>
        <v>0</v>
      </c>
      <c r="I18" s="348" t="s">
        <v>515</v>
      </c>
      <c r="K18" s="322"/>
    </row>
    <row r="19" spans="1:11" s="321" customFormat="1" ht="31.5">
      <c r="A19" s="345" t="s">
        <v>369</v>
      </c>
      <c r="B19" s="346"/>
      <c r="C19" s="350" t="s">
        <v>516</v>
      </c>
      <c r="D19" s="337">
        <v>1</v>
      </c>
      <c r="E19" s="337" t="s">
        <v>126</v>
      </c>
      <c r="F19" s="341"/>
      <c r="G19" s="342"/>
      <c r="H19" s="343">
        <f t="shared" si="0"/>
        <v>0</v>
      </c>
      <c r="I19" s="348" t="s">
        <v>517</v>
      </c>
      <c r="K19" s="389"/>
    </row>
    <row r="20" spans="1:11" s="321" customFormat="1" ht="31.5">
      <c r="A20" s="345" t="s">
        <v>373</v>
      </c>
      <c r="B20" s="346"/>
      <c r="C20" s="350" t="s">
        <v>518</v>
      </c>
      <c r="D20" s="337">
        <v>1</v>
      </c>
      <c r="E20" s="337" t="s">
        <v>126</v>
      </c>
      <c r="F20" s="341"/>
      <c r="G20" s="342"/>
      <c r="H20" s="343">
        <f t="shared" si="0"/>
        <v>0</v>
      </c>
      <c r="I20" s="348" t="s">
        <v>519</v>
      </c>
      <c r="K20" s="389"/>
    </row>
    <row r="21" spans="1:11" s="321" customFormat="1" ht="15.75">
      <c r="A21" s="345"/>
      <c r="B21" s="346"/>
      <c r="C21" s="347"/>
      <c r="D21" s="337"/>
      <c r="E21" s="337"/>
      <c r="F21" s="341"/>
      <c r="G21" s="342"/>
      <c r="H21" s="343"/>
      <c r="I21" s="348"/>
      <c r="K21" s="322"/>
    </row>
    <row r="22" spans="1:11" s="321" customFormat="1" ht="15.75">
      <c r="A22" s="336" t="s">
        <v>318</v>
      </c>
      <c r="B22" s="337"/>
      <c r="C22" s="338" t="s">
        <v>520</v>
      </c>
      <c r="D22" s="337"/>
      <c r="E22" s="337"/>
      <c r="F22" s="341"/>
      <c r="G22" s="342"/>
      <c r="H22" s="343"/>
      <c r="I22" s="348"/>
      <c r="K22" s="322"/>
    </row>
    <row r="23" spans="1:11" s="321" customFormat="1" ht="85.5" customHeight="1">
      <c r="A23" s="345" t="s">
        <v>320</v>
      </c>
      <c r="B23" s="346" t="s">
        <v>511</v>
      </c>
      <c r="C23" s="349" t="s">
        <v>512</v>
      </c>
      <c r="D23" s="337">
        <v>1</v>
      </c>
      <c r="E23" s="337" t="s">
        <v>126</v>
      </c>
      <c r="F23" s="341"/>
      <c r="G23" s="342"/>
      <c r="H23" s="343">
        <f t="shared" ref="H23:H24" si="1">D23*(F23+G23)</f>
        <v>0</v>
      </c>
      <c r="I23" s="348" t="s">
        <v>335</v>
      </c>
      <c r="K23" s="322"/>
    </row>
    <row r="24" spans="1:11" s="321" customFormat="1" ht="31.5">
      <c r="A24" s="345" t="s">
        <v>324</v>
      </c>
      <c r="B24" s="346" t="s">
        <v>336</v>
      </c>
      <c r="C24" s="349" t="s">
        <v>337</v>
      </c>
      <c r="D24" s="337">
        <v>1</v>
      </c>
      <c r="E24" s="337" t="s">
        <v>126</v>
      </c>
      <c r="F24" s="341"/>
      <c r="G24" s="342"/>
      <c r="H24" s="343">
        <f t="shared" si="1"/>
        <v>0</v>
      </c>
      <c r="I24" s="348" t="s">
        <v>338</v>
      </c>
      <c r="K24" s="322"/>
    </row>
    <row r="25" spans="1:11" s="321" customFormat="1" ht="31.5">
      <c r="A25" s="345" t="s">
        <v>328</v>
      </c>
      <c r="B25" s="346" t="s">
        <v>521</v>
      </c>
      <c r="C25" s="349" t="s">
        <v>522</v>
      </c>
      <c r="D25" s="337">
        <v>1</v>
      </c>
      <c r="E25" s="337" t="s">
        <v>126</v>
      </c>
      <c r="F25" s="341"/>
      <c r="G25" s="342"/>
      <c r="H25" s="343">
        <f>D25*(F25+G25)</f>
        <v>0</v>
      </c>
      <c r="I25" s="348" t="s">
        <v>523</v>
      </c>
      <c r="K25" s="322"/>
    </row>
    <row r="26" spans="1:11" s="321" customFormat="1" ht="15.75">
      <c r="A26" s="345"/>
      <c r="B26" s="346"/>
      <c r="C26" s="350"/>
      <c r="D26" s="337"/>
      <c r="E26" s="337"/>
      <c r="F26" s="341"/>
      <c r="G26" s="342"/>
      <c r="H26" s="343"/>
      <c r="I26" s="348"/>
      <c r="K26" s="322"/>
    </row>
    <row r="27" spans="1:11" s="321" customFormat="1" ht="15.75">
      <c r="A27" s="336" t="s">
        <v>318</v>
      </c>
      <c r="B27" s="337"/>
      <c r="C27" s="338" t="s">
        <v>524</v>
      </c>
      <c r="D27" s="337"/>
      <c r="E27" s="337"/>
      <c r="F27" s="341"/>
      <c r="G27" s="342"/>
      <c r="H27" s="343"/>
      <c r="I27" s="348"/>
      <c r="K27" s="322"/>
    </row>
    <row r="28" spans="1:11" s="321" customFormat="1" ht="31.5">
      <c r="A28" s="345" t="s">
        <v>320</v>
      </c>
      <c r="B28" s="346"/>
      <c r="C28" s="349" t="s">
        <v>525</v>
      </c>
      <c r="D28" s="337">
        <v>1</v>
      </c>
      <c r="E28" s="337" t="s">
        <v>126</v>
      </c>
      <c r="F28" s="341"/>
      <c r="G28" s="342"/>
      <c r="H28" s="343">
        <f>D28*(F28+G28)</f>
        <v>0</v>
      </c>
      <c r="I28" s="348" t="s">
        <v>525</v>
      </c>
      <c r="K28" s="322"/>
    </row>
    <row r="29" spans="1:11" s="321" customFormat="1" ht="15.75">
      <c r="A29" s="345"/>
      <c r="B29" s="346"/>
      <c r="C29" s="350"/>
      <c r="D29" s="337"/>
      <c r="E29" s="337"/>
      <c r="F29" s="341"/>
      <c r="G29" s="342"/>
      <c r="H29" s="343"/>
      <c r="I29" s="348"/>
      <c r="K29" s="322"/>
    </row>
    <row r="30" spans="1:11" s="321" customFormat="1" ht="15.75">
      <c r="A30" s="336" t="s">
        <v>318</v>
      </c>
      <c r="B30" s="337"/>
      <c r="C30" s="352" t="s">
        <v>526</v>
      </c>
      <c r="D30" s="337"/>
      <c r="E30" s="337"/>
      <c r="F30" s="341"/>
      <c r="G30" s="342"/>
      <c r="H30" s="343"/>
      <c r="I30" s="348"/>
      <c r="K30" s="322"/>
    </row>
    <row r="31" spans="1:11" s="321" customFormat="1" ht="63">
      <c r="A31" s="345" t="s">
        <v>320</v>
      </c>
      <c r="B31" s="337" t="s">
        <v>527</v>
      </c>
      <c r="C31" s="349" t="s">
        <v>356</v>
      </c>
      <c r="D31" s="337">
        <v>4</v>
      </c>
      <c r="E31" s="337" t="s">
        <v>126</v>
      </c>
      <c r="F31" s="341"/>
      <c r="G31" s="342"/>
      <c r="H31" s="343">
        <f t="shared" si="0"/>
        <v>0</v>
      </c>
      <c r="I31" s="348" t="s">
        <v>528</v>
      </c>
      <c r="K31" s="322"/>
    </row>
    <row r="32" spans="1:11" s="321" customFormat="1" ht="63">
      <c r="A32" s="345" t="s">
        <v>324</v>
      </c>
      <c r="B32" s="337" t="s">
        <v>529</v>
      </c>
      <c r="C32" s="349" t="s">
        <v>359</v>
      </c>
      <c r="D32" s="337">
        <v>1</v>
      </c>
      <c r="E32" s="337" t="s">
        <v>126</v>
      </c>
      <c r="F32" s="341"/>
      <c r="G32" s="342"/>
      <c r="H32" s="343">
        <f>D32*(F32+G32)</f>
        <v>0</v>
      </c>
      <c r="I32" s="348" t="s">
        <v>530</v>
      </c>
      <c r="K32" s="322"/>
    </row>
    <row r="33" spans="1:11" s="321" customFormat="1" ht="31.5">
      <c r="A33" s="345" t="s">
        <v>328</v>
      </c>
      <c r="B33" s="337" t="s">
        <v>531</v>
      </c>
      <c r="C33" s="349" t="s">
        <v>532</v>
      </c>
      <c r="D33" s="337">
        <v>1</v>
      </c>
      <c r="E33" s="337" t="s">
        <v>126</v>
      </c>
      <c r="F33" s="341"/>
      <c r="G33" s="342"/>
      <c r="H33" s="343">
        <f t="shared" ref="H33:H37" si="2">D33*(F33+G33)</f>
        <v>0</v>
      </c>
      <c r="I33" s="354" t="s">
        <v>533</v>
      </c>
      <c r="K33" s="322"/>
    </row>
    <row r="34" spans="1:11" s="321" customFormat="1" ht="31.5">
      <c r="A34" s="345" t="s">
        <v>340</v>
      </c>
      <c r="B34" s="337" t="s">
        <v>534</v>
      </c>
      <c r="C34" s="349" t="s">
        <v>535</v>
      </c>
      <c r="D34" s="337">
        <v>1</v>
      </c>
      <c r="E34" s="337" t="s">
        <v>126</v>
      </c>
      <c r="F34" s="341"/>
      <c r="G34" s="342"/>
      <c r="H34" s="343">
        <f t="shared" si="2"/>
        <v>0</v>
      </c>
      <c r="I34" s="354" t="s">
        <v>536</v>
      </c>
      <c r="K34" s="322"/>
    </row>
    <row r="35" spans="1:11" s="321" customFormat="1" ht="31.5">
      <c r="A35" s="345" t="s">
        <v>351</v>
      </c>
      <c r="B35" s="337" t="s">
        <v>537</v>
      </c>
      <c r="C35" s="349" t="s">
        <v>538</v>
      </c>
      <c r="D35" s="337">
        <v>1</v>
      </c>
      <c r="E35" s="337" t="s">
        <v>126</v>
      </c>
      <c r="F35" s="341"/>
      <c r="G35" s="342"/>
      <c r="H35" s="343">
        <f t="shared" si="2"/>
        <v>0</v>
      </c>
      <c r="I35" s="354" t="s">
        <v>539</v>
      </c>
      <c r="K35" s="322"/>
    </row>
    <row r="36" spans="1:11" s="321" customFormat="1" ht="47.25">
      <c r="A36" s="345" t="s">
        <v>369</v>
      </c>
      <c r="B36" s="337" t="s">
        <v>540</v>
      </c>
      <c r="C36" s="349" t="s">
        <v>541</v>
      </c>
      <c r="D36" s="337">
        <v>1</v>
      </c>
      <c r="E36" s="337" t="s">
        <v>126</v>
      </c>
      <c r="F36" s="341"/>
      <c r="G36" s="342"/>
      <c r="H36" s="343">
        <f t="shared" si="2"/>
        <v>0</v>
      </c>
      <c r="I36" s="354" t="s">
        <v>542</v>
      </c>
      <c r="K36" s="322"/>
    </row>
    <row r="37" spans="1:11" s="321" customFormat="1" ht="31.5">
      <c r="A37" s="345" t="s">
        <v>373</v>
      </c>
      <c r="B37" s="337" t="s">
        <v>543</v>
      </c>
      <c r="C37" s="349" t="s">
        <v>544</v>
      </c>
      <c r="D37" s="337">
        <v>3</v>
      </c>
      <c r="E37" s="337" t="s">
        <v>126</v>
      </c>
      <c r="F37" s="341"/>
      <c r="G37" s="342"/>
      <c r="H37" s="343">
        <f t="shared" si="2"/>
        <v>0</v>
      </c>
      <c r="I37" s="348" t="s">
        <v>544</v>
      </c>
      <c r="K37" s="322"/>
    </row>
    <row r="38" spans="1:11" s="321" customFormat="1" ht="15.75">
      <c r="A38" s="345"/>
      <c r="B38" s="346"/>
      <c r="C38" s="350"/>
      <c r="D38" s="337"/>
      <c r="E38" s="337"/>
      <c r="F38" s="341"/>
      <c r="G38" s="342"/>
      <c r="H38" s="343"/>
      <c r="I38" s="348"/>
      <c r="K38" s="322"/>
    </row>
    <row r="39" spans="1:11" s="321" customFormat="1" ht="15.75">
      <c r="A39" s="336" t="s">
        <v>318</v>
      </c>
      <c r="B39" s="337"/>
      <c r="C39" s="352" t="s">
        <v>545</v>
      </c>
      <c r="D39" s="337"/>
      <c r="E39" s="337"/>
      <c r="F39" s="341"/>
      <c r="G39" s="342"/>
      <c r="H39" s="343"/>
      <c r="I39" s="348"/>
      <c r="K39" s="322"/>
    </row>
    <row r="40" spans="1:11" s="321" customFormat="1" ht="31.5">
      <c r="A40" s="345" t="s">
        <v>320</v>
      </c>
      <c r="B40" s="337" t="s">
        <v>546</v>
      </c>
      <c r="C40" s="353" t="s">
        <v>541</v>
      </c>
      <c r="D40" s="337">
        <v>2</v>
      </c>
      <c r="E40" s="337" t="s">
        <v>126</v>
      </c>
      <c r="F40" s="341"/>
      <c r="G40" s="342"/>
      <c r="H40" s="343">
        <f t="shared" ref="H40" si="3">D40*(F40+G40)</f>
        <v>0</v>
      </c>
      <c r="I40" s="354" t="s">
        <v>542</v>
      </c>
      <c r="K40" s="322"/>
    </row>
    <row r="41" spans="1:11" s="321" customFormat="1" ht="15.75">
      <c r="A41" s="345"/>
      <c r="B41" s="346"/>
      <c r="C41" s="350"/>
      <c r="D41" s="337"/>
      <c r="E41" s="337"/>
      <c r="F41" s="341"/>
      <c r="G41" s="342"/>
      <c r="H41" s="343"/>
      <c r="I41" s="348"/>
      <c r="K41" s="322"/>
    </row>
    <row r="42" spans="1:11" s="321" customFormat="1" ht="15.75">
      <c r="A42" s="336" t="s">
        <v>318</v>
      </c>
      <c r="B42" s="337"/>
      <c r="C42" s="352" t="s">
        <v>547</v>
      </c>
      <c r="D42" s="337"/>
      <c r="E42" s="337"/>
      <c r="F42" s="341"/>
      <c r="G42" s="342"/>
      <c r="H42" s="343"/>
      <c r="I42" s="348"/>
      <c r="K42" s="322"/>
    </row>
    <row r="43" spans="1:11" s="321" customFormat="1" ht="63">
      <c r="A43" s="345" t="s">
        <v>320</v>
      </c>
      <c r="B43" s="337" t="s">
        <v>548</v>
      </c>
      <c r="C43" s="349" t="s">
        <v>356</v>
      </c>
      <c r="D43" s="337">
        <v>3</v>
      </c>
      <c r="E43" s="337" t="s">
        <v>126</v>
      </c>
      <c r="F43" s="341"/>
      <c r="G43" s="342"/>
      <c r="H43" s="343">
        <f t="shared" ref="H43" si="4">D43*(F43+G43)</f>
        <v>0</v>
      </c>
      <c r="I43" s="348" t="s">
        <v>549</v>
      </c>
      <c r="K43" s="322"/>
    </row>
    <row r="44" spans="1:11" s="321" customFormat="1" ht="15.75">
      <c r="A44" s="345"/>
      <c r="B44" s="346"/>
      <c r="C44" s="350"/>
      <c r="D44" s="337"/>
      <c r="E44" s="337"/>
      <c r="F44" s="341"/>
      <c r="G44" s="342"/>
      <c r="H44" s="343"/>
      <c r="I44" s="348"/>
      <c r="K44" s="322"/>
    </row>
    <row r="45" spans="1:11" s="321" customFormat="1" ht="15.75">
      <c r="A45" s="336" t="s">
        <v>318</v>
      </c>
      <c r="B45" s="337"/>
      <c r="C45" s="352" t="s">
        <v>550</v>
      </c>
      <c r="D45" s="337"/>
      <c r="E45" s="337"/>
      <c r="F45" s="341"/>
      <c r="G45" s="342"/>
      <c r="H45" s="343"/>
      <c r="I45" s="348"/>
      <c r="K45" s="322"/>
    </row>
    <row r="46" spans="1:11" s="321" customFormat="1" ht="63">
      <c r="A46" s="345" t="s">
        <v>320</v>
      </c>
      <c r="B46" s="337" t="s">
        <v>551</v>
      </c>
      <c r="C46" s="349" t="s">
        <v>356</v>
      </c>
      <c r="D46" s="337">
        <v>1</v>
      </c>
      <c r="E46" s="337" t="s">
        <v>126</v>
      </c>
      <c r="F46" s="341"/>
      <c r="G46" s="342"/>
      <c r="H46" s="343">
        <f t="shared" ref="H46:H48" si="5">D46*(F46+G46)</f>
        <v>0</v>
      </c>
      <c r="I46" s="348" t="s">
        <v>552</v>
      </c>
      <c r="K46" s="322"/>
    </row>
    <row r="47" spans="1:11" s="321" customFormat="1" ht="31.5">
      <c r="A47" s="345" t="s">
        <v>324</v>
      </c>
      <c r="B47" s="337" t="s">
        <v>553</v>
      </c>
      <c r="C47" s="349" t="s">
        <v>554</v>
      </c>
      <c r="D47" s="337">
        <v>2</v>
      </c>
      <c r="E47" s="337" t="s">
        <v>126</v>
      </c>
      <c r="F47" s="341"/>
      <c r="G47" s="342"/>
      <c r="H47" s="343">
        <f t="shared" si="5"/>
        <v>0</v>
      </c>
      <c r="I47" s="348" t="s">
        <v>555</v>
      </c>
      <c r="K47" s="322"/>
    </row>
    <row r="48" spans="1:11" s="321" customFormat="1" ht="31.5">
      <c r="A48" s="345" t="s">
        <v>328</v>
      </c>
      <c r="B48" s="337" t="s">
        <v>556</v>
      </c>
      <c r="C48" s="349" t="s">
        <v>557</v>
      </c>
      <c r="D48" s="337">
        <v>2</v>
      </c>
      <c r="E48" s="337" t="s">
        <v>126</v>
      </c>
      <c r="F48" s="341"/>
      <c r="G48" s="342"/>
      <c r="H48" s="343">
        <f t="shared" si="5"/>
        <v>0</v>
      </c>
      <c r="I48" s="348" t="s">
        <v>558</v>
      </c>
      <c r="K48" s="322"/>
    </row>
    <row r="49" spans="1:11" s="321" customFormat="1" ht="15.75">
      <c r="A49" s="345"/>
      <c r="B49" s="346"/>
      <c r="C49" s="350"/>
      <c r="D49" s="337"/>
      <c r="E49" s="337"/>
      <c r="F49" s="341"/>
      <c r="G49" s="342"/>
      <c r="H49" s="343"/>
      <c r="I49" s="348"/>
      <c r="K49" s="322"/>
    </row>
    <row r="50" spans="1:11" s="321" customFormat="1" ht="15.75">
      <c r="A50" s="336" t="s">
        <v>318</v>
      </c>
      <c r="B50" s="337"/>
      <c r="C50" s="352" t="s">
        <v>559</v>
      </c>
      <c r="D50" s="337"/>
      <c r="E50" s="337"/>
      <c r="F50" s="341"/>
      <c r="G50" s="342"/>
      <c r="H50" s="343"/>
      <c r="I50" s="348"/>
      <c r="K50" s="322"/>
    </row>
    <row r="51" spans="1:11" s="321" customFormat="1" ht="47.25">
      <c r="A51" s="345" t="s">
        <v>320</v>
      </c>
      <c r="B51" s="337" t="s">
        <v>560</v>
      </c>
      <c r="C51" s="349" t="s">
        <v>561</v>
      </c>
      <c r="D51" s="337">
        <v>1</v>
      </c>
      <c r="E51" s="337" t="s">
        <v>126</v>
      </c>
      <c r="F51" s="341"/>
      <c r="G51" s="342"/>
      <c r="H51" s="343">
        <f t="shared" ref="H51:H52" si="6">D51*(F51+G51)</f>
        <v>0</v>
      </c>
      <c r="I51" s="348" t="s">
        <v>562</v>
      </c>
      <c r="K51" s="322"/>
    </row>
    <row r="52" spans="1:11" s="321" customFormat="1" ht="63">
      <c r="A52" s="345" t="s">
        <v>324</v>
      </c>
      <c r="B52" s="337" t="s">
        <v>563</v>
      </c>
      <c r="C52" s="349" t="s">
        <v>356</v>
      </c>
      <c r="D52" s="337">
        <v>2</v>
      </c>
      <c r="E52" s="337" t="s">
        <v>126</v>
      </c>
      <c r="F52" s="341"/>
      <c r="G52" s="342"/>
      <c r="H52" s="343">
        <f t="shared" si="6"/>
        <v>0</v>
      </c>
      <c r="I52" s="348" t="s">
        <v>549</v>
      </c>
      <c r="K52" s="322"/>
    </row>
    <row r="53" spans="1:11" s="321" customFormat="1" ht="31.5">
      <c r="A53" s="345" t="s">
        <v>328</v>
      </c>
      <c r="B53" s="337" t="s">
        <v>564</v>
      </c>
      <c r="C53" s="349" t="s">
        <v>565</v>
      </c>
      <c r="D53" s="337">
        <v>1</v>
      </c>
      <c r="E53" s="337" t="s">
        <v>126</v>
      </c>
      <c r="F53" s="341"/>
      <c r="G53" s="342"/>
      <c r="H53" s="343">
        <f t="shared" si="0"/>
        <v>0</v>
      </c>
      <c r="I53" s="348" t="s">
        <v>566</v>
      </c>
      <c r="K53" s="322"/>
    </row>
    <row r="54" spans="1:11" s="321" customFormat="1" ht="31.5">
      <c r="A54" s="345" t="s">
        <v>340</v>
      </c>
      <c r="B54" s="337" t="s">
        <v>567</v>
      </c>
      <c r="C54" s="353" t="s">
        <v>568</v>
      </c>
      <c r="D54" s="337">
        <v>1</v>
      </c>
      <c r="E54" s="337" t="s">
        <v>126</v>
      </c>
      <c r="F54" s="341"/>
      <c r="G54" s="342"/>
      <c r="H54" s="343">
        <f t="shared" si="0"/>
        <v>0</v>
      </c>
      <c r="I54" s="354" t="s">
        <v>569</v>
      </c>
      <c r="K54" s="322"/>
    </row>
    <row r="55" spans="1:11" s="321" customFormat="1" ht="31.5">
      <c r="A55" s="345" t="s">
        <v>351</v>
      </c>
      <c r="B55" s="337" t="s">
        <v>570</v>
      </c>
      <c r="C55" s="349" t="s">
        <v>406</v>
      </c>
      <c r="D55" s="337">
        <v>2</v>
      </c>
      <c r="E55" s="337" t="s">
        <v>126</v>
      </c>
      <c r="F55" s="341"/>
      <c r="G55" s="342"/>
      <c r="H55" s="343">
        <f t="shared" si="0"/>
        <v>0</v>
      </c>
      <c r="I55" s="348" t="s">
        <v>406</v>
      </c>
      <c r="K55" s="322"/>
    </row>
    <row r="56" spans="1:11" s="321" customFormat="1" ht="15.75">
      <c r="A56" s="345"/>
      <c r="B56" s="337"/>
      <c r="C56" s="349"/>
      <c r="D56" s="337"/>
      <c r="E56" s="337"/>
      <c r="F56" s="341"/>
      <c r="G56" s="342"/>
      <c r="H56" s="343"/>
      <c r="I56" s="348"/>
      <c r="K56" s="322"/>
    </row>
    <row r="57" spans="1:11" s="321" customFormat="1" ht="15.75">
      <c r="A57" s="336" t="s">
        <v>318</v>
      </c>
      <c r="B57" s="337"/>
      <c r="C57" s="338" t="s">
        <v>416</v>
      </c>
      <c r="D57" s="337"/>
      <c r="E57" s="337"/>
      <c r="F57" s="341"/>
      <c r="G57" s="342"/>
      <c r="H57" s="343"/>
      <c r="I57" s="348"/>
      <c r="K57" s="322"/>
    </row>
    <row r="58" spans="1:11" s="321" customFormat="1" ht="31.5">
      <c r="A58" s="345" t="s">
        <v>320</v>
      </c>
      <c r="B58" s="337"/>
      <c r="C58" s="349" t="s">
        <v>571</v>
      </c>
      <c r="D58" s="337">
        <v>1</v>
      </c>
      <c r="E58" s="337" t="s">
        <v>64</v>
      </c>
      <c r="F58" s="341"/>
      <c r="G58" s="342"/>
      <c r="H58" s="343">
        <f>D58*(F58+G58)</f>
        <v>0</v>
      </c>
      <c r="I58" s="354" t="s">
        <v>571</v>
      </c>
      <c r="K58" s="322"/>
    </row>
    <row r="59" spans="1:11" s="321" customFormat="1" ht="15.75">
      <c r="A59" s="345" t="s">
        <v>324</v>
      </c>
      <c r="B59" s="337"/>
      <c r="C59" s="349" t="s">
        <v>572</v>
      </c>
      <c r="D59" s="337">
        <v>1</v>
      </c>
      <c r="E59" s="337" t="s">
        <v>64</v>
      </c>
      <c r="F59" s="341"/>
      <c r="G59" s="342"/>
      <c r="H59" s="343">
        <f t="shared" si="0"/>
        <v>0</v>
      </c>
      <c r="I59" s="354" t="s">
        <v>573</v>
      </c>
      <c r="K59" s="322"/>
    </row>
    <row r="60" spans="1:11" s="321" customFormat="1" ht="53.25" customHeight="1">
      <c r="A60" s="345" t="s">
        <v>328</v>
      </c>
      <c r="B60" s="337"/>
      <c r="C60" s="349" t="s">
        <v>574</v>
      </c>
      <c r="D60" s="337">
        <v>1</v>
      </c>
      <c r="E60" s="337" t="s">
        <v>64</v>
      </c>
      <c r="F60" s="341"/>
      <c r="G60" s="342"/>
      <c r="H60" s="343">
        <f t="shared" si="0"/>
        <v>0</v>
      </c>
      <c r="I60" s="354" t="s">
        <v>575</v>
      </c>
      <c r="K60" s="322"/>
    </row>
    <row r="61" spans="1:11" s="321" customFormat="1" ht="53.25" customHeight="1">
      <c r="A61" s="345" t="s">
        <v>340</v>
      </c>
      <c r="B61" s="337"/>
      <c r="C61" s="349" t="s">
        <v>576</v>
      </c>
      <c r="D61" s="337">
        <v>1</v>
      </c>
      <c r="E61" s="337" t="s">
        <v>64</v>
      </c>
      <c r="F61" s="341"/>
      <c r="G61" s="342"/>
      <c r="H61" s="343">
        <f t="shared" si="0"/>
        <v>0</v>
      </c>
      <c r="I61" s="354" t="s">
        <v>576</v>
      </c>
      <c r="K61" s="322"/>
    </row>
    <row r="62" spans="1:11" s="321" customFormat="1" ht="31.5">
      <c r="A62" s="345" t="s">
        <v>351</v>
      </c>
      <c r="B62" s="337"/>
      <c r="C62" s="349" t="s">
        <v>577</v>
      </c>
      <c r="D62" s="337">
        <v>1</v>
      </c>
      <c r="E62" s="337" t="s">
        <v>64</v>
      </c>
      <c r="F62" s="341"/>
      <c r="G62" s="342"/>
      <c r="H62" s="343">
        <f t="shared" si="0"/>
        <v>0</v>
      </c>
      <c r="I62" s="354" t="s">
        <v>578</v>
      </c>
      <c r="K62" s="322"/>
    </row>
    <row r="63" spans="1:11" s="321" customFormat="1" ht="31.5">
      <c r="A63" s="345" t="s">
        <v>369</v>
      </c>
      <c r="B63" s="337"/>
      <c r="C63" s="349" t="s">
        <v>579</v>
      </c>
      <c r="D63" s="337">
        <v>1</v>
      </c>
      <c r="E63" s="337" t="s">
        <v>64</v>
      </c>
      <c r="F63" s="341"/>
      <c r="G63" s="342"/>
      <c r="H63" s="343">
        <f t="shared" si="0"/>
        <v>0</v>
      </c>
      <c r="I63" s="354" t="s">
        <v>580</v>
      </c>
      <c r="K63" s="322"/>
    </row>
    <row r="64" spans="1:11" s="321" customFormat="1" ht="47.25">
      <c r="A64" s="345" t="s">
        <v>373</v>
      </c>
      <c r="B64" s="337"/>
      <c r="C64" s="349" t="s">
        <v>581</v>
      </c>
      <c r="D64" s="337">
        <v>1</v>
      </c>
      <c r="E64" s="337" t="s">
        <v>64</v>
      </c>
      <c r="F64" s="341"/>
      <c r="G64" s="342"/>
      <c r="H64" s="343">
        <f t="shared" si="0"/>
        <v>0</v>
      </c>
      <c r="I64" s="354" t="s">
        <v>581</v>
      </c>
      <c r="K64" s="322"/>
    </row>
    <row r="65" spans="1:20" s="321" customFormat="1" ht="42.75" customHeight="1">
      <c r="A65" s="345" t="s">
        <v>377</v>
      </c>
      <c r="B65" s="337"/>
      <c r="C65" s="349" t="s">
        <v>582</v>
      </c>
      <c r="D65" s="337">
        <v>1</v>
      </c>
      <c r="E65" s="337" t="s">
        <v>64</v>
      </c>
      <c r="F65" s="341"/>
      <c r="G65" s="342"/>
      <c r="H65" s="343">
        <f t="shared" si="0"/>
        <v>0</v>
      </c>
      <c r="I65" s="354" t="s">
        <v>583</v>
      </c>
      <c r="K65" s="322"/>
    </row>
    <row r="66" spans="1:20" s="321" customFormat="1" ht="43.5" customHeight="1">
      <c r="A66" s="345" t="s">
        <v>381</v>
      </c>
      <c r="B66" s="337"/>
      <c r="C66" s="349" t="s">
        <v>584</v>
      </c>
      <c r="D66" s="337">
        <v>1</v>
      </c>
      <c r="E66" s="337" t="s">
        <v>64</v>
      </c>
      <c r="F66" s="341"/>
      <c r="G66" s="342"/>
      <c r="H66" s="343">
        <f t="shared" si="0"/>
        <v>0</v>
      </c>
      <c r="I66" s="354" t="s">
        <v>585</v>
      </c>
      <c r="K66" s="322"/>
    </row>
    <row r="67" spans="1:20" s="321" customFormat="1" ht="31.5">
      <c r="A67" s="345" t="s">
        <v>385</v>
      </c>
      <c r="B67" s="337"/>
      <c r="C67" s="349" t="s">
        <v>586</v>
      </c>
      <c r="D67" s="337">
        <v>1</v>
      </c>
      <c r="E67" s="337" t="s">
        <v>64</v>
      </c>
      <c r="F67" s="341"/>
      <c r="G67" s="342"/>
      <c r="H67" s="343">
        <f t="shared" si="0"/>
        <v>0</v>
      </c>
      <c r="I67" s="348" t="s">
        <v>586</v>
      </c>
      <c r="K67" s="322"/>
    </row>
    <row r="68" spans="1:20" s="321" customFormat="1" ht="15.75">
      <c r="A68" s="345" t="s">
        <v>389</v>
      </c>
      <c r="B68" s="337"/>
      <c r="C68" s="349" t="s">
        <v>421</v>
      </c>
      <c r="D68" s="337">
        <v>1</v>
      </c>
      <c r="E68" s="337" t="s">
        <v>64</v>
      </c>
      <c r="F68" s="341"/>
      <c r="G68" s="342"/>
      <c r="H68" s="343">
        <f t="shared" si="0"/>
        <v>0</v>
      </c>
      <c r="I68" s="348" t="s">
        <v>421</v>
      </c>
      <c r="K68" s="322"/>
    </row>
    <row r="69" spans="1:20" s="321" customFormat="1" ht="15.75">
      <c r="A69" s="345" t="s">
        <v>393</v>
      </c>
      <c r="B69" s="337"/>
      <c r="C69" s="349" t="s">
        <v>422</v>
      </c>
      <c r="D69" s="337">
        <v>1</v>
      </c>
      <c r="E69" s="337" t="s">
        <v>64</v>
      </c>
      <c r="F69" s="341"/>
      <c r="G69" s="342"/>
      <c r="H69" s="343">
        <f t="shared" si="0"/>
        <v>0</v>
      </c>
      <c r="I69" s="348" t="s">
        <v>422</v>
      </c>
      <c r="K69" s="322"/>
    </row>
    <row r="70" spans="1:20" s="321" customFormat="1" ht="47.25">
      <c r="A70" s="345" t="s">
        <v>397</v>
      </c>
      <c r="B70" s="337"/>
      <c r="C70" s="349" t="s">
        <v>423</v>
      </c>
      <c r="D70" s="337">
        <v>1</v>
      </c>
      <c r="E70" s="337" t="s">
        <v>64</v>
      </c>
      <c r="F70" s="341"/>
      <c r="G70" s="342"/>
      <c r="H70" s="343">
        <f t="shared" si="0"/>
        <v>0</v>
      </c>
      <c r="I70" s="348" t="s">
        <v>423</v>
      </c>
      <c r="K70" s="322"/>
    </row>
    <row r="71" spans="1:20" s="321" customFormat="1" ht="31.5">
      <c r="A71" s="345" t="s">
        <v>401</v>
      </c>
      <c r="B71" s="337"/>
      <c r="C71" s="349" t="s">
        <v>424</v>
      </c>
      <c r="D71" s="337">
        <v>1</v>
      </c>
      <c r="E71" s="337" t="s">
        <v>64</v>
      </c>
      <c r="F71" s="341"/>
      <c r="G71" s="342"/>
      <c r="H71" s="343">
        <f t="shared" si="0"/>
        <v>0</v>
      </c>
      <c r="I71" s="348" t="s">
        <v>425</v>
      </c>
      <c r="K71" s="322"/>
    </row>
    <row r="72" spans="1:20" s="321" customFormat="1" ht="15.75">
      <c r="A72" s="345"/>
      <c r="B72" s="337"/>
      <c r="C72" s="350"/>
      <c r="D72" s="360"/>
      <c r="E72" s="355"/>
      <c r="F72" s="341"/>
      <c r="G72" s="342"/>
      <c r="H72" s="343"/>
      <c r="I72" s="348"/>
      <c r="K72" s="322"/>
    </row>
    <row r="73" spans="1:20" s="321" customFormat="1" ht="15.75">
      <c r="A73" s="336" t="s">
        <v>318</v>
      </c>
      <c r="B73" s="337"/>
      <c r="C73" s="338" t="s">
        <v>426</v>
      </c>
      <c r="D73" s="337"/>
      <c r="E73" s="337"/>
      <c r="F73" s="341"/>
      <c r="G73" s="342"/>
      <c r="H73" s="343"/>
      <c r="I73" s="348"/>
      <c r="K73" s="322"/>
    </row>
    <row r="74" spans="1:20" s="321" customFormat="1" ht="15.75">
      <c r="A74" s="345" t="s">
        <v>320</v>
      </c>
      <c r="B74" s="337"/>
      <c r="C74" s="350" t="s">
        <v>427</v>
      </c>
      <c r="D74" s="361">
        <v>430</v>
      </c>
      <c r="E74" s="337" t="s">
        <v>7</v>
      </c>
      <c r="F74" s="341"/>
      <c r="G74" s="341"/>
      <c r="H74" s="343">
        <f t="shared" si="0"/>
        <v>0</v>
      </c>
      <c r="I74" s="356" t="s">
        <v>428</v>
      </c>
      <c r="K74" s="322"/>
      <c r="L74" s="390"/>
      <c r="M74" s="390"/>
      <c r="N74" s="390"/>
      <c r="O74" s="390"/>
      <c r="P74" s="390"/>
      <c r="Q74" s="390"/>
      <c r="R74" s="390"/>
      <c r="S74" s="390"/>
      <c r="T74" s="390"/>
    </row>
    <row r="75" spans="1:20" s="321" customFormat="1" ht="15.75">
      <c r="A75" s="345" t="s">
        <v>324</v>
      </c>
      <c r="B75" s="337"/>
      <c r="C75" s="350" t="s">
        <v>429</v>
      </c>
      <c r="D75" s="361">
        <v>260</v>
      </c>
      <c r="E75" s="337" t="s">
        <v>7</v>
      </c>
      <c r="F75" s="341"/>
      <c r="G75" s="341"/>
      <c r="H75" s="343">
        <f t="shared" si="0"/>
        <v>0</v>
      </c>
      <c r="I75" s="356" t="s">
        <v>428</v>
      </c>
      <c r="K75" s="322"/>
      <c r="L75" s="390"/>
      <c r="M75" s="390"/>
      <c r="N75" s="390"/>
      <c r="O75" s="390"/>
      <c r="P75" s="390"/>
      <c r="Q75" s="390"/>
      <c r="R75" s="390"/>
      <c r="S75" s="390"/>
      <c r="T75" s="390"/>
    </row>
    <row r="76" spans="1:20" s="321" customFormat="1" ht="15.75">
      <c r="A76" s="345" t="s">
        <v>328</v>
      </c>
      <c r="B76" s="337"/>
      <c r="C76" s="350" t="s">
        <v>431</v>
      </c>
      <c r="D76" s="361">
        <v>380</v>
      </c>
      <c r="E76" s="337" t="s">
        <v>7</v>
      </c>
      <c r="F76" s="341"/>
      <c r="G76" s="341"/>
      <c r="H76" s="343">
        <f t="shared" si="0"/>
        <v>0</v>
      </c>
      <c r="I76" s="356" t="s">
        <v>428</v>
      </c>
      <c r="K76" s="322"/>
      <c r="L76" s="390"/>
      <c r="M76" s="390"/>
      <c r="N76" s="390"/>
      <c r="O76" s="390"/>
      <c r="P76" s="390"/>
      <c r="Q76" s="390"/>
      <c r="R76" s="390"/>
      <c r="S76" s="390"/>
      <c r="T76" s="390"/>
    </row>
    <row r="77" spans="1:20" s="321" customFormat="1" ht="15.75">
      <c r="A77" s="345" t="s">
        <v>340</v>
      </c>
      <c r="B77" s="337"/>
      <c r="C77" s="350" t="s">
        <v>432</v>
      </c>
      <c r="D77" s="361">
        <v>90</v>
      </c>
      <c r="E77" s="337" t="s">
        <v>7</v>
      </c>
      <c r="F77" s="341"/>
      <c r="G77" s="341"/>
      <c r="H77" s="343">
        <f t="shared" si="0"/>
        <v>0</v>
      </c>
      <c r="I77" s="356" t="s">
        <v>433</v>
      </c>
      <c r="K77" s="322"/>
      <c r="L77" s="390"/>
      <c r="M77" s="390"/>
      <c r="N77" s="390"/>
      <c r="O77" s="390"/>
      <c r="P77" s="390"/>
      <c r="Q77" s="390"/>
      <c r="R77" s="390"/>
      <c r="S77" s="390"/>
      <c r="T77" s="390"/>
    </row>
    <row r="78" spans="1:20" s="321" customFormat="1" ht="15.75">
      <c r="A78" s="345" t="s">
        <v>351</v>
      </c>
      <c r="B78" s="337"/>
      <c r="C78" s="350" t="s">
        <v>434</v>
      </c>
      <c r="D78" s="361">
        <v>60</v>
      </c>
      <c r="E78" s="337" t="s">
        <v>7</v>
      </c>
      <c r="F78" s="341"/>
      <c r="G78" s="341"/>
      <c r="H78" s="343">
        <f t="shared" ref="H78:H113" si="7">D78*(F78+G78)</f>
        <v>0</v>
      </c>
      <c r="I78" s="356" t="s">
        <v>435</v>
      </c>
      <c r="K78" s="322"/>
      <c r="L78" s="390"/>
      <c r="M78" s="390"/>
      <c r="N78" s="390"/>
      <c r="O78" s="390"/>
      <c r="P78" s="390"/>
      <c r="Q78" s="390"/>
      <c r="R78" s="390"/>
      <c r="S78" s="390"/>
      <c r="T78" s="390"/>
    </row>
    <row r="79" spans="1:20" s="321" customFormat="1" ht="15.75">
      <c r="A79" s="345" t="s">
        <v>369</v>
      </c>
      <c r="B79" s="337"/>
      <c r="C79" s="350" t="s">
        <v>587</v>
      </c>
      <c r="D79" s="361">
        <v>160</v>
      </c>
      <c r="E79" s="337" t="s">
        <v>7</v>
      </c>
      <c r="F79" s="341"/>
      <c r="G79" s="341"/>
      <c r="H79" s="343">
        <f t="shared" si="7"/>
        <v>0</v>
      </c>
      <c r="I79" s="356" t="s">
        <v>588</v>
      </c>
      <c r="K79" s="322"/>
      <c r="L79" s="390"/>
      <c r="M79" s="390"/>
      <c r="N79" s="390"/>
      <c r="O79" s="390"/>
      <c r="P79" s="390"/>
      <c r="Q79" s="390"/>
      <c r="R79" s="390"/>
      <c r="S79" s="390"/>
      <c r="T79" s="390"/>
    </row>
    <row r="80" spans="1:20" s="321" customFormat="1" ht="15.75">
      <c r="A80" s="345" t="s">
        <v>373</v>
      </c>
      <c r="B80" s="337"/>
      <c r="C80" s="350" t="s">
        <v>589</v>
      </c>
      <c r="D80" s="361">
        <v>160</v>
      </c>
      <c r="E80" s="337" t="s">
        <v>7</v>
      </c>
      <c r="F80" s="341"/>
      <c r="G80" s="341"/>
      <c r="H80" s="343">
        <f>D80*(F80+G80)</f>
        <v>0</v>
      </c>
      <c r="I80" s="356" t="s">
        <v>437</v>
      </c>
      <c r="K80" s="322"/>
      <c r="L80" s="390"/>
      <c r="M80" s="390"/>
      <c r="N80" s="390"/>
      <c r="O80" s="390"/>
      <c r="P80" s="390"/>
      <c r="Q80" s="390"/>
      <c r="R80" s="390"/>
      <c r="S80" s="390"/>
      <c r="T80" s="390"/>
    </row>
    <row r="81" spans="1:20" s="321" customFormat="1" ht="15.75">
      <c r="A81" s="345" t="s">
        <v>377</v>
      </c>
      <c r="B81" s="337"/>
      <c r="C81" s="350" t="s">
        <v>590</v>
      </c>
      <c r="D81" s="361">
        <v>80</v>
      </c>
      <c r="E81" s="337" t="s">
        <v>7</v>
      </c>
      <c r="F81" s="341"/>
      <c r="G81" s="341"/>
      <c r="H81" s="343">
        <f>D81*(F81+G81)</f>
        <v>0</v>
      </c>
      <c r="I81" s="356" t="s">
        <v>591</v>
      </c>
      <c r="K81" s="322"/>
      <c r="L81" s="390"/>
      <c r="M81" s="390"/>
      <c r="N81" s="390"/>
      <c r="O81" s="390"/>
      <c r="P81" s="390"/>
      <c r="Q81" s="390"/>
      <c r="R81" s="390"/>
      <c r="S81" s="390"/>
      <c r="T81" s="390"/>
    </row>
    <row r="82" spans="1:20" s="321" customFormat="1" ht="15.75">
      <c r="A82" s="345" t="s">
        <v>381</v>
      </c>
      <c r="B82" s="337"/>
      <c r="C82" s="350" t="s">
        <v>592</v>
      </c>
      <c r="D82" s="361">
        <v>90</v>
      </c>
      <c r="E82" s="337" t="s">
        <v>7</v>
      </c>
      <c r="F82" s="341"/>
      <c r="G82" s="341"/>
      <c r="H82" s="343">
        <f>D82*(F82+G82)</f>
        <v>0</v>
      </c>
      <c r="I82" s="356" t="s">
        <v>593</v>
      </c>
      <c r="K82" s="322"/>
      <c r="L82" s="390"/>
      <c r="M82" s="390"/>
      <c r="N82" s="390"/>
      <c r="O82" s="390"/>
      <c r="P82" s="390"/>
      <c r="Q82" s="390"/>
      <c r="R82" s="390"/>
      <c r="S82" s="390"/>
      <c r="T82" s="390"/>
    </row>
    <row r="83" spans="1:20" s="321" customFormat="1" ht="15.75">
      <c r="A83" s="345" t="s">
        <v>385</v>
      </c>
      <c r="B83" s="337"/>
      <c r="C83" s="350" t="s">
        <v>594</v>
      </c>
      <c r="D83" s="361">
        <v>80</v>
      </c>
      <c r="E83" s="337" t="s">
        <v>7</v>
      </c>
      <c r="F83" s="341"/>
      <c r="G83" s="341"/>
      <c r="H83" s="343">
        <f t="shared" si="7"/>
        <v>0</v>
      </c>
      <c r="I83" s="351" t="s">
        <v>439</v>
      </c>
      <c r="K83" s="322"/>
      <c r="L83" s="390"/>
      <c r="M83" s="390"/>
      <c r="N83" s="390"/>
      <c r="O83" s="390"/>
      <c r="P83" s="390"/>
      <c r="Q83" s="390"/>
      <c r="R83" s="390"/>
      <c r="S83" s="390"/>
      <c r="T83" s="390"/>
    </row>
    <row r="84" spans="1:20" s="321" customFormat="1" ht="15.75">
      <c r="A84" s="345" t="s">
        <v>389</v>
      </c>
      <c r="B84" s="337"/>
      <c r="C84" s="350" t="s">
        <v>444</v>
      </c>
      <c r="D84" s="361">
        <v>1</v>
      </c>
      <c r="E84" s="337" t="s">
        <v>64</v>
      </c>
      <c r="F84" s="341"/>
      <c r="G84" s="341"/>
      <c r="H84" s="343">
        <f t="shared" si="7"/>
        <v>0</v>
      </c>
      <c r="I84" s="351" t="s">
        <v>444</v>
      </c>
      <c r="K84" s="322"/>
      <c r="L84" s="390"/>
      <c r="M84" s="390"/>
      <c r="N84" s="390"/>
      <c r="O84" s="390"/>
      <c r="P84" s="390"/>
      <c r="Q84" s="390"/>
      <c r="R84" s="390"/>
      <c r="S84" s="390"/>
      <c r="T84" s="390"/>
    </row>
    <row r="85" spans="1:20" s="321" customFormat="1" ht="15.75">
      <c r="A85" s="345"/>
      <c r="B85" s="337"/>
      <c r="C85" s="350"/>
      <c r="D85" s="361"/>
      <c r="E85" s="337"/>
      <c r="F85" s="341"/>
      <c r="G85" s="342"/>
      <c r="H85" s="343"/>
      <c r="I85" s="351"/>
      <c r="K85" s="322"/>
      <c r="L85" s="390"/>
      <c r="M85" s="390"/>
      <c r="N85" s="390"/>
      <c r="O85" s="390"/>
      <c r="P85" s="390"/>
      <c r="Q85" s="390"/>
      <c r="R85" s="390"/>
      <c r="S85" s="390"/>
      <c r="T85" s="390"/>
    </row>
    <row r="86" spans="1:20" s="321" customFormat="1" ht="15.75">
      <c r="A86" s="336" t="s">
        <v>318</v>
      </c>
      <c r="B86" s="337"/>
      <c r="C86" s="338" t="s">
        <v>445</v>
      </c>
      <c r="D86" s="337"/>
      <c r="E86" s="337"/>
      <c r="F86" s="341"/>
      <c r="G86" s="342"/>
      <c r="H86" s="343"/>
      <c r="I86" s="348"/>
      <c r="K86" s="322"/>
    </row>
    <row r="87" spans="1:20" s="321" customFormat="1" ht="15.75">
      <c r="A87" s="345" t="s">
        <v>320</v>
      </c>
      <c r="B87" s="346"/>
      <c r="C87" s="364" t="s">
        <v>446</v>
      </c>
      <c r="D87" s="361">
        <v>30</v>
      </c>
      <c r="E87" s="337" t="s">
        <v>7</v>
      </c>
      <c r="F87" s="341"/>
      <c r="G87" s="341"/>
      <c r="H87" s="343">
        <f t="shared" ref="H87:H93" si="8">D87*(F87+G87)</f>
        <v>0</v>
      </c>
      <c r="I87" s="348" t="s">
        <v>446</v>
      </c>
      <c r="K87" s="322"/>
    </row>
    <row r="88" spans="1:20" s="321" customFormat="1" ht="15.75">
      <c r="A88" s="345" t="s">
        <v>324</v>
      </c>
      <c r="B88" s="346"/>
      <c r="C88" s="364" t="s">
        <v>447</v>
      </c>
      <c r="D88" s="361">
        <v>40</v>
      </c>
      <c r="E88" s="337" t="s">
        <v>7</v>
      </c>
      <c r="F88" s="341"/>
      <c r="G88" s="341"/>
      <c r="H88" s="343">
        <f t="shared" si="8"/>
        <v>0</v>
      </c>
      <c r="I88" s="348" t="s">
        <v>447</v>
      </c>
      <c r="K88" s="322"/>
    </row>
    <row r="89" spans="1:20" s="321" customFormat="1" ht="15.75">
      <c r="A89" s="345" t="s">
        <v>328</v>
      </c>
      <c r="B89" s="346"/>
      <c r="C89" s="364" t="s">
        <v>449</v>
      </c>
      <c r="D89" s="361">
        <v>20</v>
      </c>
      <c r="E89" s="337" t="s">
        <v>7</v>
      </c>
      <c r="F89" s="341"/>
      <c r="G89" s="341"/>
      <c r="H89" s="343">
        <f t="shared" si="8"/>
        <v>0</v>
      </c>
      <c r="I89" s="348" t="s">
        <v>450</v>
      </c>
      <c r="K89" s="322"/>
    </row>
    <row r="90" spans="1:20" s="321" customFormat="1" ht="15.75">
      <c r="A90" s="345" t="s">
        <v>340</v>
      </c>
      <c r="B90" s="346"/>
      <c r="C90" s="364" t="s">
        <v>450</v>
      </c>
      <c r="D90" s="361">
        <v>30</v>
      </c>
      <c r="E90" s="337" t="s">
        <v>7</v>
      </c>
      <c r="F90" s="341"/>
      <c r="G90" s="341"/>
      <c r="H90" s="343">
        <f t="shared" si="8"/>
        <v>0</v>
      </c>
      <c r="I90" s="348" t="s">
        <v>450</v>
      </c>
      <c r="K90" s="322"/>
    </row>
    <row r="91" spans="1:20" s="321" customFormat="1" ht="15.75">
      <c r="A91" s="345" t="s">
        <v>351</v>
      </c>
      <c r="B91" s="346"/>
      <c r="C91" s="364" t="s">
        <v>451</v>
      </c>
      <c r="D91" s="361">
        <v>120</v>
      </c>
      <c r="E91" s="337" t="s">
        <v>7</v>
      </c>
      <c r="F91" s="341"/>
      <c r="G91" s="341"/>
      <c r="H91" s="343">
        <f t="shared" si="8"/>
        <v>0</v>
      </c>
      <c r="I91" s="348" t="s">
        <v>451</v>
      </c>
      <c r="K91" s="322"/>
    </row>
    <row r="92" spans="1:20" s="321" customFormat="1" ht="15.75">
      <c r="A92" s="345" t="s">
        <v>369</v>
      </c>
      <c r="B92" s="346"/>
      <c r="C92" s="364" t="s">
        <v>453</v>
      </c>
      <c r="D92" s="337">
        <v>1</v>
      </c>
      <c r="E92" s="337" t="s">
        <v>64</v>
      </c>
      <c r="F92" s="341"/>
      <c r="G92" s="342"/>
      <c r="H92" s="343">
        <f t="shared" si="8"/>
        <v>0</v>
      </c>
      <c r="I92" s="348" t="s">
        <v>453</v>
      </c>
      <c r="K92" s="322"/>
    </row>
    <row r="93" spans="1:20" s="321" customFormat="1" ht="15.75">
      <c r="A93" s="345" t="s">
        <v>373</v>
      </c>
      <c r="B93" s="346"/>
      <c r="C93" s="364" t="s">
        <v>454</v>
      </c>
      <c r="D93" s="337">
        <v>1</v>
      </c>
      <c r="E93" s="337" t="s">
        <v>64</v>
      </c>
      <c r="F93" s="341"/>
      <c r="G93" s="342"/>
      <c r="H93" s="343">
        <f t="shared" si="8"/>
        <v>0</v>
      </c>
      <c r="I93" s="348" t="s">
        <v>454</v>
      </c>
      <c r="K93" s="322"/>
    </row>
    <row r="94" spans="1:20" s="321" customFormat="1" ht="18" customHeight="1">
      <c r="A94" s="345"/>
      <c r="B94" s="337"/>
      <c r="C94" s="350"/>
      <c r="D94" s="360"/>
      <c r="E94" s="355"/>
      <c r="F94" s="341"/>
      <c r="G94" s="342"/>
      <c r="H94" s="343"/>
      <c r="I94" s="348"/>
      <c r="K94" s="322"/>
    </row>
    <row r="95" spans="1:20" s="321" customFormat="1" ht="15.75">
      <c r="A95" s="336" t="s">
        <v>318</v>
      </c>
      <c r="B95" s="337"/>
      <c r="C95" s="338" t="s">
        <v>595</v>
      </c>
      <c r="D95" s="337"/>
      <c r="E95" s="337"/>
      <c r="F95" s="341"/>
      <c r="G95" s="342"/>
      <c r="H95" s="343"/>
      <c r="I95" s="348"/>
      <c r="K95" s="322"/>
    </row>
    <row r="96" spans="1:20" s="321" customFormat="1" ht="31.5">
      <c r="A96" s="345" t="s">
        <v>320</v>
      </c>
      <c r="B96" s="337"/>
      <c r="C96" s="349" t="s">
        <v>596</v>
      </c>
      <c r="D96" s="337">
        <v>1</v>
      </c>
      <c r="E96" s="337" t="s">
        <v>64</v>
      </c>
      <c r="F96" s="341"/>
      <c r="G96" s="342"/>
      <c r="H96" s="343">
        <f>D96*(F96+G96)</f>
        <v>0</v>
      </c>
      <c r="I96" s="348" t="s">
        <v>596</v>
      </c>
      <c r="K96" s="322"/>
    </row>
    <row r="97" spans="1:11" s="321" customFormat="1" ht="31.5">
      <c r="A97" s="345" t="s">
        <v>324</v>
      </c>
      <c r="B97" s="337"/>
      <c r="C97" s="349" t="s">
        <v>516</v>
      </c>
      <c r="D97" s="337">
        <v>1</v>
      </c>
      <c r="E97" s="337" t="s">
        <v>126</v>
      </c>
      <c r="F97" s="341"/>
      <c r="G97" s="342"/>
      <c r="H97" s="343">
        <f t="shared" ref="H97:H98" si="9">D97*(F97+G97)</f>
        <v>0</v>
      </c>
      <c r="I97" s="348" t="s">
        <v>517</v>
      </c>
      <c r="K97" s="389"/>
    </row>
    <row r="98" spans="1:11" s="321" customFormat="1" ht="62.25" customHeight="1">
      <c r="A98" s="345" t="s">
        <v>328</v>
      </c>
      <c r="B98" s="337"/>
      <c r="C98" s="349" t="s">
        <v>597</v>
      </c>
      <c r="D98" s="337">
        <v>1</v>
      </c>
      <c r="E98" s="337" t="s">
        <v>126</v>
      </c>
      <c r="F98" s="341"/>
      <c r="G98" s="342"/>
      <c r="H98" s="343">
        <f t="shared" si="9"/>
        <v>0</v>
      </c>
      <c r="I98" s="348" t="s">
        <v>598</v>
      </c>
      <c r="K98" s="389"/>
    </row>
    <row r="99" spans="1:11" s="321" customFormat="1" ht="15.75">
      <c r="A99" s="367"/>
      <c r="B99" s="368"/>
      <c r="C99" s="369"/>
      <c r="D99" s="370"/>
      <c r="E99" s="371"/>
      <c r="F99" s="372"/>
      <c r="G99" s="373"/>
      <c r="H99" s="343"/>
      <c r="I99" s="374"/>
      <c r="K99" s="322"/>
    </row>
    <row r="100" spans="1:11" s="321" customFormat="1" ht="15.75">
      <c r="A100" s="336" t="s">
        <v>318</v>
      </c>
      <c r="B100" s="337"/>
      <c r="C100" s="338" t="s">
        <v>599</v>
      </c>
      <c r="D100" s="337"/>
      <c r="E100" s="337"/>
      <c r="F100" s="341"/>
      <c r="G100" s="342"/>
      <c r="H100" s="343"/>
      <c r="I100" s="348"/>
      <c r="K100" s="322"/>
    </row>
    <row r="101" spans="1:11" s="321" customFormat="1" ht="31.5">
      <c r="A101" s="345" t="s">
        <v>320</v>
      </c>
      <c r="B101" s="337"/>
      <c r="C101" s="349" t="s">
        <v>600</v>
      </c>
      <c r="D101" s="337">
        <v>1</v>
      </c>
      <c r="E101" s="337" t="s">
        <v>64</v>
      </c>
      <c r="F101" s="341"/>
      <c r="G101" s="342"/>
      <c r="H101" s="343">
        <f>D101*(F101+G101)</f>
        <v>0</v>
      </c>
      <c r="I101" s="348" t="s">
        <v>600</v>
      </c>
      <c r="K101" s="322"/>
    </row>
    <row r="102" spans="1:11" s="321" customFormat="1" ht="18" customHeight="1">
      <c r="A102" s="345"/>
      <c r="B102" s="337"/>
      <c r="C102" s="350"/>
      <c r="D102" s="360"/>
      <c r="E102" s="355"/>
      <c r="F102" s="341"/>
      <c r="G102" s="342"/>
      <c r="H102" s="343"/>
      <c r="I102" s="348"/>
      <c r="K102" s="322"/>
    </row>
    <row r="103" spans="1:11" s="321" customFormat="1" ht="15.75">
      <c r="A103" s="336" t="s">
        <v>318</v>
      </c>
      <c r="B103" s="337"/>
      <c r="C103" s="338" t="s">
        <v>601</v>
      </c>
      <c r="D103" s="337"/>
      <c r="E103" s="337"/>
      <c r="F103" s="341"/>
      <c r="G103" s="342"/>
      <c r="H103" s="343"/>
      <c r="I103" s="348"/>
      <c r="K103" s="322"/>
    </row>
    <row r="104" spans="1:11" s="321" customFormat="1" ht="31.5">
      <c r="A104" s="345" t="s">
        <v>320</v>
      </c>
      <c r="B104" s="337"/>
      <c r="C104" s="349" t="s">
        <v>602</v>
      </c>
      <c r="D104" s="337">
        <v>1</v>
      </c>
      <c r="E104" s="337" t="s">
        <v>64</v>
      </c>
      <c r="F104" s="341"/>
      <c r="G104" s="342"/>
      <c r="H104" s="343">
        <f>D104*(F104+G104)</f>
        <v>0</v>
      </c>
      <c r="I104" s="348" t="s">
        <v>602</v>
      </c>
      <c r="K104" s="322"/>
    </row>
    <row r="105" spans="1:11" s="321" customFormat="1" ht="18" customHeight="1">
      <c r="A105" s="345"/>
      <c r="B105" s="337"/>
      <c r="C105" s="350"/>
      <c r="D105" s="360"/>
      <c r="E105" s="355"/>
      <c r="F105" s="341"/>
      <c r="G105" s="342"/>
      <c r="H105" s="343"/>
      <c r="I105" s="348"/>
      <c r="K105" s="322"/>
    </row>
    <row r="106" spans="1:11" s="321" customFormat="1" ht="15.75">
      <c r="A106" s="336" t="s">
        <v>318</v>
      </c>
      <c r="B106" s="337"/>
      <c r="C106" s="338" t="s">
        <v>478</v>
      </c>
      <c r="D106" s="337"/>
      <c r="E106" s="337"/>
      <c r="F106" s="341"/>
      <c r="G106" s="342"/>
      <c r="H106" s="343"/>
      <c r="I106" s="348"/>
      <c r="K106" s="322"/>
    </row>
    <row r="107" spans="1:11" s="321" customFormat="1" ht="31.5">
      <c r="A107" s="345" t="s">
        <v>320</v>
      </c>
      <c r="B107" s="346"/>
      <c r="C107" s="364" t="s">
        <v>479</v>
      </c>
      <c r="D107" s="337">
        <v>1</v>
      </c>
      <c r="E107" s="337" t="s">
        <v>64</v>
      </c>
      <c r="F107" s="341"/>
      <c r="G107" s="342"/>
      <c r="H107" s="343">
        <f t="shared" si="7"/>
        <v>0</v>
      </c>
      <c r="I107" s="348" t="s">
        <v>479</v>
      </c>
      <c r="K107" s="322"/>
    </row>
    <row r="108" spans="1:11" s="321" customFormat="1" ht="15.75">
      <c r="A108" s="345" t="s">
        <v>324</v>
      </c>
      <c r="B108" s="346"/>
      <c r="C108" s="366" t="s">
        <v>481</v>
      </c>
      <c r="D108" s="337">
        <v>1</v>
      </c>
      <c r="E108" s="337" t="s">
        <v>64</v>
      </c>
      <c r="F108" s="341"/>
      <c r="G108" s="342"/>
      <c r="H108" s="343">
        <f t="shared" si="7"/>
        <v>0</v>
      </c>
      <c r="I108" s="348" t="s">
        <v>481</v>
      </c>
      <c r="K108" s="322"/>
    </row>
    <row r="109" spans="1:11" s="321" customFormat="1" ht="15.75">
      <c r="A109" s="345" t="s">
        <v>328</v>
      </c>
      <c r="B109" s="346"/>
      <c r="C109" s="366" t="s">
        <v>482</v>
      </c>
      <c r="D109" s="337">
        <v>1</v>
      </c>
      <c r="E109" s="337" t="s">
        <v>64</v>
      </c>
      <c r="F109" s="341"/>
      <c r="G109" s="342"/>
      <c r="H109" s="343">
        <f t="shared" si="7"/>
        <v>0</v>
      </c>
      <c r="I109" s="348" t="s">
        <v>483</v>
      </c>
      <c r="K109" s="322"/>
    </row>
    <row r="110" spans="1:11" s="321" customFormat="1" ht="31.5">
      <c r="A110" s="345" t="s">
        <v>340</v>
      </c>
      <c r="B110" s="337"/>
      <c r="C110" s="353" t="s">
        <v>484</v>
      </c>
      <c r="D110" s="337">
        <v>1</v>
      </c>
      <c r="E110" s="337" t="s">
        <v>64</v>
      </c>
      <c r="F110" s="341"/>
      <c r="G110" s="342"/>
      <c r="H110" s="343">
        <f t="shared" si="7"/>
        <v>0</v>
      </c>
      <c r="I110" s="348" t="s">
        <v>484</v>
      </c>
      <c r="K110" s="322"/>
    </row>
    <row r="111" spans="1:11" s="321" customFormat="1" ht="15.75">
      <c r="A111" s="345" t="s">
        <v>351</v>
      </c>
      <c r="B111" s="337"/>
      <c r="C111" s="375" t="s">
        <v>485</v>
      </c>
      <c r="D111" s="337">
        <v>1</v>
      </c>
      <c r="E111" s="337" t="s">
        <v>64</v>
      </c>
      <c r="F111" s="341"/>
      <c r="G111" s="342"/>
      <c r="H111" s="343">
        <f t="shared" si="7"/>
        <v>0</v>
      </c>
      <c r="I111" s="376" t="s">
        <v>485</v>
      </c>
      <c r="K111" s="322"/>
    </row>
    <row r="112" spans="1:11" s="321" customFormat="1" ht="15.75">
      <c r="A112" s="345" t="s">
        <v>369</v>
      </c>
      <c r="B112" s="337"/>
      <c r="C112" s="375" t="s">
        <v>486</v>
      </c>
      <c r="D112" s="337">
        <v>1</v>
      </c>
      <c r="E112" s="337" t="s">
        <v>64</v>
      </c>
      <c r="F112" s="341"/>
      <c r="G112" s="342"/>
      <c r="H112" s="343">
        <f t="shared" si="7"/>
        <v>0</v>
      </c>
      <c r="I112" s="348" t="s">
        <v>486</v>
      </c>
      <c r="K112" s="322"/>
    </row>
    <row r="113" spans="1:11" s="321" customFormat="1" ht="15.75">
      <c r="A113" s="345" t="s">
        <v>373</v>
      </c>
      <c r="B113" s="377"/>
      <c r="C113" s="375" t="s">
        <v>487</v>
      </c>
      <c r="D113" s="337">
        <v>1</v>
      </c>
      <c r="E113" s="337" t="s">
        <v>64</v>
      </c>
      <c r="F113" s="341"/>
      <c r="G113" s="342"/>
      <c r="H113" s="343">
        <f t="shared" si="7"/>
        <v>0</v>
      </c>
      <c r="I113" s="378" t="s">
        <v>487</v>
      </c>
      <c r="K113" s="322"/>
    </row>
    <row r="114" spans="1:11" s="321" customFormat="1" ht="16.5" thickBot="1">
      <c r="A114" s="379"/>
      <c r="B114" s="380"/>
      <c r="C114" s="381"/>
      <c r="D114" s="380"/>
      <c r="E114" s="380"/>
      <c r="F114" s="382"/>
      <c r="G114" s="383"/>
      <c r="H114" s="384"/>
      <c r="I114" s="385"/>
      <c r="K114" s="322"/>
    </row>
    <row r="115" spans="1:11" s="321" customFormat="1" ht="16.5" thickTop="1">
      <c r="F115" s="327"/>
      <c r="G115" s="327"/>
      <c r="H115" s="327"/>
      <c r="K115" s="322"/>
    </row>
    <row r="116" spans="1:11">
      <c r="C116" s="392" t="s">
        <v>488</v>
      </c>
      <c r="D116" s="392"/>
      <c r="E116" s="392"/>
      <c r="F116" s="393"/>
      <c r="G116" s="393"/>
      <c r="H116" s="393">
        <f>SUM(H7:H113)</f>
        <v>0</v>
      </c>
    </row>
  </sheetData>
  <pageMargins left="0.23622047244094491" right="0.15748031496062992" top="0.39370078740157483" bottom="0.23622047244094491" header="0.23622047244094491" footer="0.31496062992125984"/>
  <pageSetup paperSize="9" scale="46" fitToHeight="0" orientation="portrait" r:id="rId1"/>
  <headerFooter>
    <oddHeader>&amp;RVýkaz - výměr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6</vt:i4>
      </vt:variant>
    </vt:vector>
  </HeadingPairs>
  <TitlesOfParts>
    <vt:vector size="13" baseType="lpstr">
      <vt:lpstr>krycí list</vt:lpstr>
      <vt:lpstr>SO 01</vt:lpstr>
      <vt:lpstr>SO 02</vt:lpstr>
      <vt:lpstr>PS 01</vt:lpstr>
      <vt:lpstr>PS 01-2</vt:lpstr>
      <vt:lpstr>PS 02</vt:lpstr>
      <vt:lpstr>PS 02-2</vt:lpstr>
      <vt:lpstr>'PS 01'!Názvy_tisku</vt:lpstr>
      <vt:lpstr>'krycí list'!Oblast_tisku</vt:lpstr>
      <vt:lpstr>'PS 01'!Oblast_tisku</vt:lpstr>
      <vt:lpstr>'PS 01-2'!Oblast_tisku</vt:lpstr>
      <vt:lpstr>'PS 02'!Oblast_tisku</vt:lpstr>
      <vt:lpstr>'PS 02-2'!Oblast_tisku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HP-ENVY\HP</dc:creator>
  <cp:lastModifiedBy>Stolínová Petra</cp:lastModifiedBy>
  <cp:lastPrinted>2023-01-29T15:08:07Z</cp:lastPrinted>
  <dcterms:created xsi:type="dcterms:W3CDTF">2018-04-24T15:44:50Z</dcterms:created>
  <dcterms:modified xsi:type="dcterms:W3CDTF">2024-09-03T15:38:49Z</dcterms:modified>
</cp:coreProperties>
</file>