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/>
</workbook>
</file>

<file path=xl/calcChain.xml><?xml version="1.0" encoding="utf-8"?>
<calcChain xmlns="http://schemas.openxmlformats.org/spreadsheetml/2006/main">
  <c r="I36" i="3"/>
  <c r="I35"/>
  <c r="I26"/>
  <c r="I25"/>
  <c r="I24"/>
  <c r="I23"/>
  <c r="I22"/>
  <c r="I21"/>
  <c r="I27" s="1"/>
  <c r="I17"/>
  <c r="I18" s="1"/>
  <c r="F29" s="1"/>
  <c r="I16"/>
  <c r="I15"/>
  <c r="I10"/>
  <c r="F10"/>
  <c r="C10"/>
  <c r="F8"/>
  <c r="C8"/>
  <c r="F6"/>
  <c r="C6"/>
  <c r="F4"/>
  <c r="C4"/>
  <c r="F2"/>
  <c r="C2"/>
  <c r="I24" i="2"/>
  <c r="I19"/>
  <c r="I18"/>
  <c r="I22" s="1"/>
  <c r="I17"/>
  <c r="I16"/>
  <c r="F16"/>
  <c r="I15"/>
  <c r="F15"/>
  <c r="I14"/>
  <c r="F14"/>
  <c r="I10"/>
  <c r="F10"/>
  <c r="C10"/>
  <c r="F8"/>
  <c r="C8"/>
  <c r="F6"/>
  <c r="C6"/>
  <c r="F4"/>
  <c r="C4"/>
  <c r="F2"/>
  <c r="C2"/>
  <c r="BW392" i="1"/>
  <c r="BJ392"/>
  <c r="BD392"/>
  <c r="BC392"/>
  <c r="AX392"/>
  <c r="AW392"/>
  <c r="AV392" s="1"/>
  <c r="AP392"/>
  <c r="BI392" s="1"/>
  <c r="AC392" s="1"/>
  <c r="AO392"/>
  <c r="BH392" s="1"/>
  <c r="AB392" s="1"/>
  <c r="AK392"/>
  <c r="AJ392"/>
  <c r="AH392"/>
  <c r="AG392"/>
  <c r="AF392"/>
  <c r="AE392"/>
  <c r="AD392"/>
  <c r="Z392"/>
  <c r="O392"/>
  <c r="BF392" s="1"/>
  <c r="M392"/>
  <c r="L392"/>
  <c r="AL392" s="1"/>
  <c r="K392"/>
  <c r="J392"/>
  <c r="BW391"/>
  <c r="BJ391"/>
  <c r="BI391"/>
  <c r="BF391"/>
  <c r="BD391"/>
  <c r="AW391"/>
  <c r="AP391"/>
  <c r="AX391" s="1"/>
  <c r="AO391"/>
  <c r="BH391" s="1"/>
  <c r="AB391" s="1"/>
  <c r="AL391"/>
  <c r="AK391"/>
  <c r="AT389" s="1"/>
  <c r="AJ391"/>
  <c r="AH391"/>
  <c r="AG391"/>
  <c r="AF391"/>
  <c r="AE391"/>
  <c r="AD391"/>
  <c r="AC391"/>
  <c r="Z391"/>
  <c r="O391"/>
  <c r="O389" s="1"/>
  <c r="M391"/>
  <c r="L391"/>
  <c r="K391"/>
  <c r="K389" s="1"/>
  <c r="J391"/>
  <c r="BW390"/>
  <c r="M390" s="1"/>
  <c r="M389" s="1"/>
  <c r="BJ390"/>
  <c r="BF390"/>
  <c r="BD390"/>
  <c r="AX390"/>
  <c r="AW390"/>
  <c r="AV390" s="1"/>
  <c r="AP390"/>
  <c r="BI390" s="1"/>
  <c r="AC390" s="1"/>
  <c r="AO390"/>
  <c r="BH390" s="1"/>
  <c r="AB390" s="1"/>
  <c r="AK390"/>
  <c r="AJ390"/>
  <c r="AS389" s="1"/>
  <c r="AH390"/>
  <c r="AG390"/>
  <c r="AF390"/>
  <c r="AE390"/>
  <c r="AD390"/>
  <c r="Z390"/>
  <c r="O390"/>
  <c r="L390"/>
  <c r="AL390" s="1"/>
  <c r="K390"/>
  <c r="J390"/>
  <c r="L389"/>
  <c r="J389"/>
  <c r="BW387"/>
  <c r="BJ387"/>
  <c r="Z387" s="1"/>
  <c r="BF387"/>
  <c r="BD387"/>
  <c r="AW387"/>
  <c r="AP387"/>
  <c r="AX387" s="1"/>
  <c r="AO387"/>
  <c r="BH387" s="1"/>
  <c r="AL387"/>
  <c r="AK387"/>
  <c r="AJ387"/>
  <c r="AH387"/>
  <c r="AG387"/>
  <c r="AF387"/>
  <c r="AE387"/>
  <c r="AD387"/>
  <c r="AC387"/>
  <c r="AB387"/>
  <c r="O387"/>
  <c r="M387"/>
  <c r="L387"/>
  <c r="J387"/>
  <c r="BW385"/>
  <c r="M385" s="1"/>
  <c r="BJ385"/>
  <c r="BF385"/>
  <c r="BD385"/>
  <c r="AX385"/>
  <c r="AW385"/>
  <c r="AV385" s="1"/>
  <c r="AP385"/>
  <c r="BI385" s="1"/>
  <c r="AO385"/>
  <c r="BH385" s="1"/>
  <c r="AK385"/>
  <c r="AJ385"/>
  <c r="AH385"/>
  <c r="AG385"/>
  <c r="AF385"/>
  <c r="AE385"/>
  <c r="AD385"/>
  <c r="AC385"/>
  <c r="AB385"/>
  <c r="Z385"/>
  <c r="O385"/>
  <c r="L385"/>
  <c r="AL385" s="1"/>
  <c r="K385"/>
  <c r="J385"/>
  <c r="BW383"/>
  <c r="BJ383"/>
  <c r="Z383" s="1"/>
  <c r="BI383"/>
  <c r="BD383"/>
  <c r="AW383"/>
  <c r="AP383"/>
  <c r="AX383" s="1"/>
  <c r="AV383" s="1"/>
  <c r="AO383"/>
  <c r="BH383" s="1"/>
  <c r="AL383"/>
  <c r="AK383"/>
  <c r="AJ383"/>
  <c r="AH383"/>
  <c r="AG383"/>
  <c r="AF383"/>
  <c r="AE383"/>
  <c r="AD383"/>
  <c r="AC383"/>
  <c r="AB383"/>
  <c r="O383"/>
  <c r="BF383" s="1"/>
  <c r="L383"/>
  <c r="M383" s="1"/>
  <c r="J383"/>
  <c r="BW381"/>
  <c r="M381" s="1"/>
  <c r="BJ381"/>
  <c r="BF381"/>
  <c r="BD381"/>
  <c r="AX381"/>
  <c r="AP381"/>
  <c r="BI381" s="1"/>
  <c r="AO381"/>
  <c r="J381" s="1"/>
  <c r="AK381"/>
  <c r="AJ381"/>
  <c r="AH381"/>
  <c r="AG381"/>
  <c r="AF381"/>
  <c r="AE381"/>
  <c r="AD381"/>
  <c r="AC381"/>
  <c r="AB381"/>
  <c r="Z381"/>
  <c r="O381"/>
  <c r="L381"/>
  <c r="AL381" s="1"/>
  <c r="K381"/>
  <c r="BW379"/>
  <c r="BJ379"/>
  <c r="Z379" s="1"/>
  <c r="BI379"/>
  <c r="BD379"/>
  <c r="AW379"/>
  <c r="AP379"/>
  <c r="AX379" s="1"/>
  <c r="AV379" s="1"/>
  <c r="AO379"/>
  <c r="BH379" s="1"/>
  <c r="AL379"/>
  <c r="AK379"/>
  <c r="AJ379"/>
  <c r="AH379"/>
  <c r="AG379"/>
  <c r="AF379"/>
  <c r="AE379"/>
  <c r="AD379"/>
  <c r="AC379"/>
  <c r="AB379"/>
  <c r="O379"/>
  <c r="BF379" s="1"/>
  <c r="L379"/>
  <c r="M379" s="1"/>
  <c r="J379"/>
  <c r="BW377"/>
  <c r="M377" s="1"/>
  <c r="BJ377"/>
  <c r="BF377"/>
  <c r="BD377"/>
  <c r="AX377"/>
  <c r="AP377"/>
  <c r="BI377" s="1"/>
  <c r="AO377"/>
  <c r="J377" s="1"/>
  <c r="J374" s="1"/>
  <c r="AK377"/>
  <c r="AJ377"/>
  <c r="AS374" s="1"/>
  <c r="AH377"/>
  <c r="AG377"/>
  <c r="AF377"/>
  <c r="AE377"/>
  <c r="AD377"/>
  <c r="AC377"/>
  <c r="AB377"/>
  <c r="Z377"/>
  <c r="O377"/>
  <c r="L377"/>
  <c r="L374" s="1"/>
  <c r="K377"/>
  <c r="BW375"/>
  <c r="BJ375"/>
  <c r="Z375" s="1"/>
  <c r="BI375"/>
  <c r="BD375"/>
  <c r="AW375"/>
  <c r="AP375"/>
  <c r="AX375" s="1"/>
  <c r="AV375" s="1"/>
  <c r="AO375"/>
  <c r="BH375" s="1"/>
  <c r="AL375"/>
  <c r="AK375"/>
  <c r="AJ375"/>
  <c r="AH375"/>
  <c r="AG375"/>
  <c r="AF375"/>
  <c r="AE375"/>
  <c r="AD375"/>
  <c r="AC375"/>
  <c r="AB375"/>
  <c r="O375"/>
  <c r="BF375" s="1"/>
  <c r="L375"/>
  <c r="M375" s="1"/>
  <c r="J375"/>
  <c r="AT374"/>
  <c r="O374"/>
  <c r="BW372"/>
  <c r="M372" s="1"/>
  <c r="M371" s="1"/>
  <c r="BJ372"/>
  <c r="BH372"/>
  <c r="AF372" s="1"/>
  <c r="BF372"/>
  <c r="BD372"/>
  <c r="BC372"/>
  <c r="AX372"/>
  <c r="AW372"/>
  <c r="AV372" s="1"/>
  <c r="AP372"/>
  <c r="BI372" s="1"/>
  <c r="AO372"/>
  <c r="AK372"/>
  <c r="AJ372"/>
  <c r="AS371" s="1"/>
  <c r="AH372"/>
  <c r="AG372"/>
  <c r="AE372"/>
  <c r="AD372"/>
  <c r="AC372"/>
  <c r="AB372"/>
  <c r="Z372"/>
  <c r="O372"/>
  <c r="L372"/>
  <c r="AL372" s="1"/>
  <c r="AU371" s="1"/>
  <c r="K372"/>
  <c r="J372"/>
  <c r="AT371"/>
  <c r="O371"/>
  <c r="L371"/>
  <c r="K371"/>
  <c r="J371"/>
  <c r="BW369"/>
  <c r="BJ369"/>
  <c r="Z369" s="1"/>
  <c r="BD369"/>
  <c r="AW369"/>
  <c r="AP369"/>
  <c r="AX369" s="1"/>
  <c r="AV369" s="1"/>
  <c r="AO369"/>
  <c r="BH369" s="1"/>
  <c r="AL369"/>
  <c r="AK369"/>
  <c r="AJ369"/>
  <c r="AH369"/>
  <c r="AG369"/>
  <c r="AF369"/>
  <c r="AE369"/>
  <c r="AD369"/>
  <c r="AC369"/>
  <c r="AB369"/>
  <c r="O369"/>
  <c r="BF369" s="1"/>
  <c r="L369"/>
  <c r="M369" s="1"/>
  <c r="M368" s="1"/>
  <c r="J369"/>
  <c r="AU368"/>
  <c r="AT368"/>
  <c r="AS368"/>
  <c r="L368"/>
  <c r="J368"/>
  <c r="BW366"/>
  <c r="M366" s="1"/>
  <c r="BJ366"/>
  <c r="BF366"/>
  <c r="BD366"/>
  <c r="AX366"/>
  <c r="AP366"/>
  <c r="BI366" s="1"/>
  <c r="AO366"/>
  <c r="AW366" s="1"/>
  <c r="AK366"/>
  <c r="AJ366"/>
  <c r="AS363" s="1"/>
  <c r="AH366"/>
  <c r="AG366"/>
  <c r="AF366"/>
  <c r="AE366"/>
  <c r="AD366"/>
  <c r="AC366"/>
  <c r="AB366"/>
  <c r="Z366"/>
  <c r="O366"/>
  <c r="L366"/>
  <c r="L363" s="1"/>
  <c r="K366"/>
  <c r="J366"/>
  <c r="J363" s="1"/>
  <c r="BW364"/>
  <c r="BJ364"/>
  <c r="Z364" s="1"/>
  <c r="BD364"/>
  <c r="AW364"/>
  <c r="AP364"/>
  <c r="AX364" s="1"/>
  <c r="AV364" s="1"/>
  <c r="AO364"/>
  <c r="BH364" s="1"/>
  <c r="AL364"/>
  <c r="AK364"/>
  <c r="AJ364"/>
  <c r="AH364"/>
  <c r="AG364"/>
  <c r="AF364"/>
  <c r="AE364"/>
  <c r="AD364"/>
  <c r="AC364"/>
  <c r="AB364"/>
  <c r="O364"/>
  <c r="BF364" s="1"/>
  <c r="L364"/>
  <c r="M364" s="1"/>
  <c r="J364"/>
  <c r="AT363"/>
  <c r="O363"/>
  <c r="BW361"/>
  <c r="BJ361"/>
  <c r="BF361"/>
  <c r="BD361"/>
  <c r="BC361"/>
  <c r="AX361"/>
  <c r="AW361"/>
  <c r="AV361" s="1"/>
  <c r="AP361"/>
  <c r="BI361" s="1"/>
  <c r="AC361" s="1"/>
  <c r="AO361"/>
  <c r="BH361" s="1"/>
  <c r="AB361" s="1"/>
  <c r="AK361"/>
  <c r="AJ361"/>
  <c r="AS360" s="1"/>
  <c r="AH361"/>
  <c r="AG361"/>
  <c r="AF361"/>
  <c r="AE361"/>
  <c r="AD361"/>
  <c r="Z361"/>
  <c r="O361"/>
  <c r="M361"/>
  <c r="M360" s="1"/>
  <c r="L361"/>
  <c r="AL361" s="1"/>
  <c r="AU360" s="1"/>
  <c r="K361"/>
  <c r="J361"/>
  <c r="AT360"/>
  <c r="O360"/>
  <c r="L360"/>
  <c r="K360"/>
  <c r="J360"/>
  <c r="BW358"/>
  <c r="BJ358"/>
  <c r="BF358"/>
  <c r="BD358"/>
  <c r="AX358"/>
  <c r="AV358" s="1"/>
  <c r="AW358"/>
  <c r="AP358"/>
  <c r="BI358" s="1"/>
  <c r="AC358" s="1"/>
  <c r="AO358"/>
  <c r="BH358" s="1"/>
  <c r="AB358" s="1"/>
  <c r="AL358"/>
  <c r="AK358"/>
  <c r="AT350" s="1"/>
  <c r="AJ358"/>
  <c r="AH358"/>
  <c r="AG358"/>
  <c r="AF358"/>
  <c r="AE358"/>
  <c r="AD358"/>
  <c r="Z358"/>
  <c r="O358"/>
  <c r="O350" s="1"/>
  <c r="L358"/>
  <c r="M358" s="1"/>
  <c r="K358"/>
  <c r="K350" s="1"/>
  <c r="J358"/>
  <c r="BW351"/>
  <c r="BJ351"/>
  <c r="BF351"/>
  <c r="BD351"/>
  <c r="BC351"/>
  <c r="AX351"/>
  <c r="AW351"/>
  <c r="AV351" s="1"/>
  <c r="AP351"/>
  <c r="BI351" s="1"/>
  <c r="AC351" s="1"/>
  <c r="AO351"/>
  <c r="BH351" s="1"/>
  <c r="AB351" s="1"/>
  <c r="AK351"/>
  <c r="AJ351"/>
  <c r="AH351"/>
  <c r="AG351"/>
  <c r="AF351"/>
  <c r="AE351"/>
  <c r="AD351"/>
  <c r="Z351"/>
  <c r="O351"/>
  <c r="L351"/>
  <c r="AL351" s="1"/>
  <c r="AU350" s="1"/>
  <c r="K351"/>
  <c r="J351"/>
  <c r="J350" s="1"/>
  <c r="AS350"/>
  <c r="BW348"/>
  <c r="BJ348"/>
  <c r="BI348"/>
  <c r="BF348"/>
  <c r="BD348"/>
  <c r="AW348"/>
  <c r="AP348"/>
  <c r="K348" s="1"/>
  <c r="K347" s="1"/>
  <c r="AO348"/>
  <c r="BH348" s="1"/>
  <c r="AL348"/>
  <c r="AU347" s="1"/>
  <c r="AK348"/>
  <c r="AJ348"/>
  <c r="AH348"/>
  <c r="AG348"/>
  <c r="AF348"/>
  <c r="AE348"/>
  <c r="AD348"/>
  <c r="AC348"/>
  <c r="AB348"/>
  <c r="Z348"/>
  <c r="O348"/>
  <c r="L348"/>
  <c r="M348" s="1"/>
  <c r="M347" s="1"/>
  <c r="J348"/>
  <c r="AT347"/>
  <c r="AS347"/>
  <c r="O347"/>
  <c r="L347"/>
  <c r="J347"/>
  <c r="BW345"/>
  <c r="BJ345"/>
  <c r="BF345"/>
  <c r="BD345"/>
  <c r="AX345"/>
  <c r="AP345"/>
  <c r="BI345" s="1"/>
  <c r="AC345" s="1"/>
  <c r="AO345"/>
  <c r="AW345" s="1"/>
  <c r="AK345"/>
  <c r="AJ345"/>
  <c r="AS344" s="1"/>
  <c r="AH345"/>
  <c r="AG345"/>
  <c r="AF345"/>
  <c r="AE345"/>
  <c r="AD345"/>
  <c r="Z345"/>
  <c r="O345"/>
  <c r="M345"/>
  <c r="L345"/>
  <c r="AL345" s="1"/>
  <c r="AU344" s="1"/>
  <c r="K345"/>
  <c r="AT344"/>
  <c r="O344"/>
  <c r="M344"/>
  <c r="L344"/>
  <c r="K344"/>
  <c r="BW342"/>
  <c r="BJ342"/>
  <c r="BI342"/>
  <c r="BF342"/>
  <c r="BD342"/>
  <c r="AX342"/>
  <c r="AV342" s="1"/>
  <c r="AW342"/>
  <c r="AP342"/>
  <c r="AO342"/>
  <c r="BH342" s="1"/>
  <c r="AL342"/>
  <c r="AK342"/>
  <c r="AJ342"/>
  <c r="AH342"/>
  <c r="AG342"/>
  <c r="AF342"/>
  <c r="AE342"/>
  <c r="AD342"/>
  <c r="AC342"/>
  <c r="AB342"/>
  <c r="Z342"/>
  <c r="O342"/>
  <c r="L342"/>
  <c r="M342" s="1"/>
  <c r="K342"/>
  <c r="J342"/>
  <c r="BW340"/>
  <c r="BJ340"/>
  <c r="BF340"/>
  <c r="BD340"/>
  <c r="AX340"/>
  <c r="AP340"/>
  <c r="BI340" s="1"/>
  <c r="AC340" s="1"/>
  <c r="AO340"/>
  <c r="BH340" s="1"/>
  <c r="AB340" s="1"/>
  <c r="AK340"/>
  <c r="AJ340"/>
  <c r="AH340"/>
  <c r="AG340"/>
  <c r="AF340"/>
  <c r="AE340"/>
  <c r="AD340"/>
  <c r="Z340"/>
  <c r="O340"/>
  <c r="M340"/>
  <c r="L340"/>
  <c r="AL340" s="1"/>
  <c r="K340"/>
  <c r="BW338"/>
  <c r="BJ338"/>
  <c r="BI338"/>
  <c r="BF338"/>
  <c r="BD338"/>
  <c r="AX338"/>
  <c r="AV338" s="1"/>
  <c r="AW338"/>
  <c r="AP338"/>
  <c r="AO338"/>
  <c r="BH338" s="1"/>
  <c r="AL338"/>
  <c r="AK338"/>
  <c r="AJ338"/>
  <c r="AH338"/>
  <c r="AG338"/>
  <c r="AF338"/>
  <c r="AE338"/>
  <c r="AD338"/>
  <c r="AC338"/>
  <c r="AB338"/>
  <c r="Z338"/>
  <c r="O338"/>
  <c r="L338"/>
  <c r="M338" s="1"/>
  <c r="K338"/>
  <c r="J338"/>
  <c r="BW336"/>
  <c r="BJ336"/>
  <c r="BF336"/>
  <c r="BD336"/>
  <c r="AX336"/>
  <c r="AP336"/>
  <c r="BI336" s="1"/>
  <c r="AC336" s="1"/>
  <c r="AO336"/>
  <c r="BH336" s="1"/>
  <c r="AB336" s="1"/>
  <c r="AK336"/>
  <c r="AJ336"/>
  <c r="AH336"/>
  <c r="AG336"/>
  <c r="AF336"/>
  <c r="AE336"/>
  <c r="AD336"/>
  <c r="Z336"/>
  <c r="O336"/>
  <c r="M336"/>
  <c r="L336"/>
  <c r="AL336" s="1"/>
  <c r="K336"/>
  <c r="BW334"/>
  <c r="BJ334"/>
  <c r="BI334"/>
  <c r="BF334"/>
  <c r="BD334"/>
  <c r="AX334"/>
  <c r="AV334" s="1"/>
  <c r="AW334"/>
  <c r="AP334"/>
  <c r="AO334"/>
  <c r="BH334" s="1"/>
  <c r="AL334"/>
  <c r="AK334"/>
  <c r="AJ334"/>
  <c r="AH334"/>
  <c r="AG334"/>
  <c r="AF334"/>
  <c r="AE334"/>
  <c r="AD334"/>
  <c r="AC334"/>
  <c r="AB334"/>
  <c r="Z334"/>
  <c r="O334"/>
  <c r="L334"/>
  <c r="M334" s="1"/>
  <c r="K334"/>
  <c r="J334"/>
  <c r="BW332"/>
  <c r="BJ332"/>
  <c r="BF332"/>
  <c r="BD332"/>
  <c r="AX332"/>
  <c r="AP332"/>
  <c r="BI332" s="1"/>
  <c r="AC332" s="1"/>
  <c r="AO332"/>
  <c r="BH332" s="1"/>
  <c r="AB332" s="1"/>
  <c r="AK332"/>
  <c r="AJ332"/>
  <c r="AH332"/>
  <c r="AG332"/>
  <c r="AF332"/>
  <c r="AE332"/>
  <c r="AD332"/>
  <c r="Z332"/>
  <c r="O332"/>
  <c r="M332"/>
  <c r="L332"/>
  <c r="AL332" s="1"/>
  <c r="K332"/>
  <c r="BW328"/>
  <c r="BJ328"/>
  <c r="BI328"/>
  <c r="BF328"/>
  <c r="BD328"/>
  <c r="AX328"/>
  <c r="AV328" s="1"/>
  <c r="AW328"/>
  <c r="AP328"/>
  <c r="AO328"/>
  <c r="BH328" s="1"/>
  <c r="AL328"/>
  <c r="AK328"/>
  <c r="AT325" s="1"/>
  <c r="AJ328"/>
  <c r="AH328"/>
  <c r="AG328"/>
  <c r="AF328"/>
  <c r="AE328"/>
  <c r="AD328"/>
  <c r="AC328"/>
  <c r="AB328"/>
  <c r="Z328"/>
  <c r="O328"/>
  <c r="O325" s="1"/>
  <c r="L328"/>
  <c r="M328" s="1"/>
  <c r="K328"/>
  <c r="K325" s="1"/>
  <c r="J328"/>
  <c r="BW326"/>
  <c r="BJ326"/>
  <c r="BF326"/>
  <c r="BD326"/>
  <c r="AX326"/>
  <c r="AP326"/>
  <c r="BI326" s="1"/>
  <c r="AC326" s="1"/>
  <c r="AO326"/>
  <c r="BH326" s="1"/>
  <c r="AB326" s="1"/>
  <c r="AK326"/>
  <c r="AJ326"/>
  <c r="AS325" s="1"/>
  <c r="AH326"/>
  <c r="AG326"/>
  <c r="AF326"/>
  <c r="AE326"/>
  <c r="AD326"/>
  <c r="Z326"/>
  <c r="O326"/>
  <c r="M326"/>
  <c r="M325" s="1"/>
  <c r="L326"/>
  <c r="AL326" s="1"/>
  <c r="AU325" s="1"/>
  <c r="K326"/>
  <c r="BW323"/>
  <c r="BJ323"/>
  <c r="BD323"/>
  <c r="AW323"/>
  <c r="AP323"/>
  <c r="K323" s="1"/>
  <c r="K320" s="1"/>
  <c r="AO323"/>
  <c r="BH323" s="1"/>
  <c r="AB323" s="1"/>
  <c r="AL323"/>
  <c r="AK323"/>
  <c r="AT320" s="1"/>
  <c r="AJ323"/>
  <c r="AH323"/>
  <c r="AG323"/>
  <c r="AF323"/>
  <c r="AE323"/>
  <c r="AD323"/>
  <c r="Z323"/>
  <c r="O323"/>
  <c r="O320" s="1"/>
  <c r="L323"/>
  <c r="M323" s="1"/>
  <c r="J323"/>
  <c r="BW321"/>
  <c r="BJ321"/>
  <c r="BF321"/>
  <c r="BD321"/>
  <c r="AX321"/>
  <c r="AW321"/>
  <c r="BC321" s="1"/>
  <c r="AP321"/>
  <c r="BI321" s="1"/>
  <c r="AC321" s="1"/>
  <c r="AO321"/>
  <c r="BH321" s="1"/>
  <c r="AB321" s="1"/>
  <c r="AK321"/>
  <c r="AJ321"/>
  <c r="AH321"/>
  <c r="AG321"/>
  <c r="AF321"/>
  <c r="AE321"/>
  <c r="AD321"/>
  <c r="Z321"/>
  <c r="O321"/>
  <c r="L321"/>
  <c r="AL321" s="1"/>
  <c r="K321"/>
  <c r="J321"/>
  <c r="J320" s="1"/>
  <c r="AS320"/>
  <c r="L320"/>
  <c r="BW318"/>
  <c r="BJ318"/>
  <c r="BI318"/>
  <c r="BF318"/>
  <c r="BD318"/>
  <c r="AX318"/>
  <c r="AV318" s="1"/>
  <c r="AW318"/>
  <c r="AP318"/>
  <c r="AO318"/>
  <c r="BH318" s="1"/>
  <c r="AL318"/>
  <c r="AK318"/>
  <c r="AJ318"/>
  <c r="AH318"/>
  <c r="AG318"/>
  <c r="AF318"/>
  <c r="AE318"/>
  <c r="AD318"/>
  <c r="AC318"/>
  <c r="AB318"/>
  <c r="Z318"/>
  <c r="O318"/>
  <c r="L318"/>
  <c r="M318" s="1"/>
  <c r="K318"/>
  <c r="J318"/>
  <c r="BW313"/>
  <c r="BJ313"/>
  <c r="BF313"/>
  <c r="BD313"/>
  <c r="AX313"/>
  <c r="AP313"/>
  <c r="BI313" s="1"/>
  <c r="AC313" s="1"/>
  <c r="AO313"/>
  <c r="BH313" s="1"/>
  <c r="AB313" s="1"/>
  <c r="AK313"/>
  <c r="AJ313"/>
  <c r="AH313"/>
  <c r="AG313"/>
  <c r="AF313"/>
  <c r="AE313"/>
  <c r="AD313"/>
  <c r="Z313"/>
  <c r="O313"/>
  <c r="M313"/>
  <c r="L313"/>
  <c r="AL313" s="1"/>
  <c r="K313"/>
  <c r="BW310"/>
  <c r="BJ310"/>
  <c r="BI310"/>
  <c r="BF310"/>
  <c r="BD310"/>
  <c r="AX310"/>
  <c r="AV310" s="1"/>
  <c r="AW310"/>
  <c r="AP310"/>
  <c r="AO310"/>
  <c r="BH310" s="1"/>
  <c r="AL310"/>
  <c r="AK310"/>
  <c r="AJ310"/>
  <c r="AH310"/>
  <c r="AG310"/>
  <c r="AF310"/>
  <c r="AE310"/>
  <c r="AD310"/>
  <c r="AC310"/>
  <c r="AB310"/>
  <c r="Z310"/>
  <c r="O310"/>
  <c r="L310"/>
  <c r="M310" s="1"/>
  <c r="K310"/>
  <c r="J310"/>
  <c r="BW307"/>
  <c r="BJ307"/>
  <c r="BF307"/>
  <c r="BD307"/>
  <c r="AX307"/>
  <c r="AP307"/>
  <c r="BI307" s="1"/>
  <c r="AC307" s="1"/>
  <c r="AO307"/>
  <c r="BH307" s="1"/>
  <c r="AB307" s="1"/>
  <c r="AK307"/>
  <c r="AJ307"/>
  <c r="AH307"/>
  <c r="AG307"/>
  <c r="AF307"/>
  <c r="AE307"/>
  <c r="AD307"/>
  <c r="Z307"/>
  <c r="O307"/>
  <c r="M307"/>
  <c r="L307"/>
  <c r="AL307" s="1"/>
  <c r="K307"/>
  <c r="BW304"/>
  <c r="BJ304"/>
  <c r="BI304"/>
  <c r="BF304"/>
  <c r="BD304"/>
  <c r="AX304"/>
  <c r="AV304" s="1"/>
  <c r="AW304"/>
  <c r="AP304"/>
  <c r="AO304"/>
  <c r="BH304" s="1"/>
  <c r="AL304"/>
  <c r="AK304"/>
  <c r="AJ304"/>
  <c r="AH304"/>
  <c r="AG304"/>
  <c r="AF304"/>
  <c r="AE304"/>
  <c r="AD304"/>
  <c r="AC304"/>
  <c r="AB304"/>
  <c r="Z304"/>
  <c r="O304"/>
  <c r="L304"/>
  <c r="M304" s="1"/>
  <c r="K304"/>
  <c r="J304"/>
  <c r="BW301"/>
  <c r="BJ301"/>
  <c r="BF301"/>
  <c r="BD301"/>
  <c r="AX301"/>
  <c r="AP301"/>
  <c r="BI301" s="1"/>
  <c r="AC301" s="1"/>
  <c r="AO301"/>
  <c r="BH301" s="1"/>
  <c r="AB301" s="1"/>
  <c r="AK301"/>
  <c r="AJ301"/>
  <c r="AH301"/>
  <c r="AG301"/>
  <c r="AF301"/>
  <c r="AE301"/>
  <c r="AD301"/>
  <c r="Z301"/>
  <c r="O301"/>
  <c r="M301"/>
  <c r="L301"/>
  <c r="AL301" s="1"/>
  <c r="K301"/>
  <c r="BW299"/>
  <c r="BJ299"/>
  <c r="BI299"/>
  <c r="BF299"/>
  <c r="BD299"/>
  <c r="AX299"/>
  <c r="AV299" s="1"/>
  <c r="AW299"/>
  <c r="AP299"/>
  <c r="AO299"/>
  <c r="BH299" s="1"/>
  <c r="AL299"/>
  <c r="AK299"/>
  <c r="AJ299"/>
  <c r="AH299"/>
  <c r="AG299"/>
  <c r="AF299"/>
  <c r="AE299"/>
  <c r="AD299"/>
  <c r="AC299"/>
  <c r="AB299"/>
  <c r="Z299"/>
  <c r="O299"/>
  <c r="L299"/>
  <c r="M299" s="1"/>
  <c r="K299"/>
  <c r="J299"/>
  <c r="BW296"/>
  <c r="BJ296"/>
  <c r="BF296"/>
  <c r="BD296"/>
  <c r="AX296"/>
  <c r="AP296"/>
  <c r="BI296" s="1"/>
  <c r="AC296" s="1"/>
  <c r="AO296"/>
  <c r="BH296" s="1"/>
  <c r="AB296" s="1"/>
  <c r="AK296"/>
  <c r="AJ296"/>
  <c r="AH296"/>
  <c r="AG296"/>
  <c r="AF296"/>
  <c r="AE296"/>
  <c r="AD296"/>
  <c r="Z296"/>
  <c r="O296"/>
  <c r="M296"/>
  <c r="L296"/>
  <c r="AL296" s="1"/>
  <c r="K296"/>
  <c r="BW294"/>
  <c r="BJ294"/>
  <c r="BI294"/>
  <c r="BF294"/>
  <c r="BD294"/>
  <c r="AX294"/>
  <c r="AV294" s="1"/>
  <c r="AW294"/>
  <c r="AP294"/>
  <c r="AO294"/>
  <c r="BH294" s="1"/>
  <c r="AL294"/>
  <c r="AK294"/>
  <c r="AJ294"/>
  <c r="AH294"/>
  <c r="AG294"/>
  <c r="AF294"/>
  <c r="AE294"/>
  <c r="AD294"/>
  <c r="AC294"/>
  <c r="AB294"/>
  <c r="Z294"/>
  <c r="O294"/>
  <c r="L294"/>
  <c r="M294" s="1"/>
  <c r="K294"/>
  <c r="J294"/>
  <c r="BW291"/>
  <c r="BJ291"/>
  <c r="BF291"/>
  <c r="BD291"/>
  <c r="AX291"/>
  <c r="AP291"/>
  <c r="BI291" s="1"/>
  <c r="AC291" s="1"/>
  <c r="AO291"/>
  <c r="BH291" s="1"/>
  <c r="AB291" s="1"/>
  <c r="AK291"/>
  <c r="AJ291"/>
  <c r="AH291"/>
  <c r="AG291"/>
  <c r="AF291"/>
  <c r="AE291"/>
  <c r="AD291"/>
  <c r="Z291"/>
  <c r="O291"/>
  <c r="M291"/>
  <c r="L291"/>
  <c r="AL291" s="1"/>
  <c r="K291"/>
  <c r="BW289"/>
  <c r="BJ289"/>
  <c r="BI289"/>
  <c r="BF289"/>
  <c r="BD289"/>
  <c r="AX289"/>
  <c r="AV289" s="1"/>
  <c r="AW289"/>
  <c r="AP289"/>
  <c r="AO289"/>
  <c r="BH289" s="1"/>
  <c r="AL289"/>
  <c r="AK289"/>
  <c r="AT282" s="1"/>
  <c r="AJ289"/>
  <c r="AH289"/>
  <c r="AG289"/>
  <c r="AF289"/>
  <c r="AE289"/>
  <c r="AD289"/>
  <c r="AC289"/>
  <c r="AB289"/>
  <c r="Z289"/>
  <c r="O289"/>
  <c r="O282" s="1"/>
  <c r="L289"/>
  <c r="M289" s="1"/>
  <c r="K289"/>
  <c r="K282" s="1"/>
  <c r="J289"/>
  <c r="BW283"/>
  <c r="BJ283"/>
  <c r="BF283"/>
  <c r="BD283"/>
  <c r="AX283"/>
  <c r="AP283"/>
  <c r="BI283" s="1"/>
  <c r="AC283" s="1"/>
  <c r="AO283"/>
  <c r="BH283" s="1"/>
  <c r="AB283" s="1"/>
  <c r="AK283"/>
  <c r="AJ283"/>
  <c r="AS282" s="1"/>
  <c r="AH283"/>
  <c r="AG283"/>
  <c r="AF283"/>
  <c r="AE283"/>
  <c r="AD283"/>
  <c r="Z283"/>
  <c r="O283"/>
  <c r="M283"/>
  <c r="M282" s="1"/>
  <c r="L283"/>
  <c r="AL283" s="1"/>
  <c r="AU282" s="1"/>
  <c r="K283"/>
  <c r="BW280"/>
  <c r="BJ280"/>
  <c r="BD280"/>
  <c r="AW280"/>
  <c r="AP280"/>
  <c r="K280" s="1"/>
  <c r="AO280"/>
  <c r="BH280" s="1"/>
  <c r="AB280" s="1"/>
  <c r="AL280"/>
  <c r="AK280"/>
  <c r="AJ280"/>
  <c r="AH280"/>
  <c r="AG280"/>
  <c r="AF280"/>
  <c r="AE280"/>
  <c r="AD280"/>
  <c r="Z280"/>
  <c r="O280"/>
  <c r="BF280" s="1"/>
  <c r="L280"/>
  <c r="M280" s="1"/>
  <c r="J280"/>
  <c r="BW278"/>
  <c r="BJ278"/>
  <c r="BF278"/>
  <c r="BD278"/>
  <c r="AX278"/>
  <c r="AW278"/>
  <c r="BC278" s="1"/>
  <c r="AP278"/>
  <c r="BI278" s="1"/>
  <c r="AC278" s="1"/>
  <c r="AO278"/>
  <c r="BH278" s="1"/>
  <c r="AB278" s="1"/>
  <c r="AK278"/>
  <c r="AJ278"/>
  <c r="AH278"/>
  <c r="AG278"/>
  <c r="AF278"/>
  <c r="AE278"/>
  <c r="AD278"/>
  <c r="Z278"/>
  <c r="O278"/>
  <c r="L278"/>
  <c r="AL278" s="1"/>
  <c r="K278"/>
  <c r="J278"/>
  <c r="BW276"/>
  <c r="BJ276"/>
  <c r="BD276"/>
  <c r="AW276"/>
  <c r="AP276"/>
  <c r="K276" s="1"/>
  <c r="AO276"/>
  <c r="BH276" s="1"/>
  <c r="AB276" s="1"/>
  <c r="AL276"/>
  <c r="AK276"/>
  <c r="AJ276"/>
  <c r="AH276"/>
  <c r="AG276"/>
  <c r="AF276"/>
  <c r="AE276"/>
  <c r="AD276"/>
  <c r="Z276"/>
  <c r="O276"/>
  <c r="BF276" s="1"/>
  <c r="L276"/>
  <c r="M276" s="1"/>
  <c r="J276"/>
  <c r="BW274"/>
  <c r="BJ274"/>
  <c r="BF274"/>
  <c r="BD274"/>
  <c r="AX274"/>
  <c r="AW274"/>
  <c r="BC274" s="1"/>
  <c r="AP274"/>
  <c r="BI274" s="1"/>
  <c r="AC274" s="1"/>
  <c r="AO274"/>
  <c r="BH274" s="1"/>
  <c r="AB274" s="1"/>
  <c r="AK274"/>
  <c r="AJ274"/>
  <c r="AH274"/>
  <c r="AG274"/>
  <c r="AF274"/>
  <c r="AE274"/>
  <c r="AD274"/>
  <c r="Z274"/>
  <c r="O274"/>
  <c r="L274"/>
  <c r="AL274" s="1"/>
  <c r="K274"/>
  <c r="J274"/>
  <c r="BW272"/>
  <c r="BJ272"/>
  <c r="BD272"/>
  <c r="AW272"/>
  <c r="AP272"/>
  <c r="K272" s="1"/>
  <c r="AO272"/>
  <c r="BH272" s="1"/>
  <c r="AB272" s="1"/>
  <c r="AL272"/>
  <c r="AK272"/>
  <c r="AJ272"/>
  <c r="AH272"/>
  <c r="AG272"/>
  <c r="AF272"/>
  <c r="AE272"/>
  <c r="AD272"/>
  <c r="Z272"/>
  <c r="O272"/>
  <c r="BF272" s="1"/>
  <c r="L272"/>
  <c r="M272" s="1"/>
  <c r="J272"/>
  <c r="BW270"/>
  <c r="BJ270"/>
  <c r="BF270"/>
  <c r="BD270"/>
  <c r="AX270"/>
  <c r="AW270"/>
  <c r="AV270" s="1"/>
  <c r="AP270"/>
  <c r="BI270" s="1"/>
  <c r="AC270" s="1"/>
  <c r="AO270"/>
  <c r="BH270" s="1"/>
  <c r="AB270" s="1"/>
  <c r="AK270"/>
  <c r="AJ270"/>
  <c r="AH270"/>
  <c r="AG270"/>
  <c r="AF270"/>
  <c r="AE270"/>
  <c r="AD270"/>
  <c r="Z270"/>
  <c r="O270"/>
  <c r="L270"/>
  <c r="AL270" s="1"/>
  <c r="K270"/>
  <c r="J270"/>
  <c r="BW268"/>
  <c r="BJ268"/>
  <c r="BD268"/>
  <c r="AW268"/>
  <c r="AP268"/>
  <c r="K268" s="1"/>
  <c r="AO268"/>
  <c r="BH268" s="1"/>
  <c r="AB268" s="1"/>
  <c r="AL268"/>
  <c r="AK268"/>
  <c r="AJ268"/>
  <c r="AH268"/>
  <c r="AG268"/>
  <c r="AF268"/>
  <c r="AE268"/>
  <c r="AD268"/>
  <c r="Z268"/>
  <c r="O268"/>
  <c r="BF268" s="1"/>
  <c r="L268"/>
  <c r="M268" s="1"/>
  <c r="J268"/>
  <c r="BW262"/>
  <c r="BJ262"/>
  <c r="BF262"/>
  <c r="BD262"/>
  <c r="AX262"/>
  <c r="AW262"/>
  <c r="BC262" s="1"/>
  <c r="AP262"/>
  <c r="BI262" s="1"/>
  <c r="AC262" s="1"/>
  <c r="AO262"/>
  <c r="BH262" s="1"/>
  <c r="AB262" s="1"/>
  <c r="AK262"/>
  <c r="AJ262"/>
  <c r="AH262"/>
  <c r="AG262"/>
  <c r="AF262"/>
  <c r="AE262"/>
  <c r="AD262"/>
  <c r="Z262"/>
  <c r="O262"/>
  <c r="L262"/>
  <c r="AL262" s="1"/>
  <c r="K262"/>
  <c r="J262"/>
  <c r="BW260"/>
  <c r="BJ260"/>
  <c r="BD260"/>
  <c r="AW260"/>
  <c r="AP260"/>
  <c r="K260" s="1"/>
  <c r="AO260"/>
  <c r="BH260" s="1"/>
  <c r="AB260" s="1"/>
  <c r="AL260"/>
  <c r="AK260"/>
  <c r="AJ260"/>
  <c r="AH260"/>
  <c r="AG260"/>
  <c r="AF260"/>
  <c r="AE260"/>
  <c r="AD260"/>
  <c r="Z260"/>
  <c r="O260"/>
  <c r="BF260" s="1"/>
  <c r="L260"/>
  <c r="M260" s="1"/>
  <c r="J260"/>
  <c r="BW256"/>
  <c r="BJ256"/>
  <c r="BF256"/>
  <c r="BD256"/>
  <c r="AX256"/>
  <c r="AW256"/>
  <c r="BC256" s="1"/>
  <c r="AP256"/>
  <c r="BI256" s="1"/>
  <c r="AC256" s="1"/>
  <c r="AO256"/>
  <c r="BH256" s="1"/>
  <c r="AB256" s="1"/>
  <c r="AK256"/>
  <c r="AJ256"/>
  <c r="AH256"/>
  <c r="AG256"/>
  <c r="AF256"/>
  <c r="AE256"/>
  <c r="AD256"/>
  <c r="Z256"/>
  <c r="O256"/>
  <c r="L256"/>
  <c r="AL256" s="1"/>
  <c r="K256"/>
  <c r="J256"/>
  <c r="BW252"/>
  <c r="BJ252"/>
  <c r="BD252"/>
  <c r="AW252"/>
  <c r="AP252"/>
  <c r="K252" s="1"/>
  <c r="AO252"/>
  <c r="BH252" s="1"/>
  <c r="AB252" s="1"/>
  <c r="AL252"/>
  <c r="AK252"/>
  <c r="AJ252"/>
  <c r="AH252"/>
  <c r="AG252"/>
  <c r="AF252"/>
  <c r="AE252"/>
  <c r="AD252"/>
  <c r="Z252"/>
  <c r="O252"/>
  <c r="BF252" s="1"/>
  <c r="L252"/>
  <c r="M252" s="1"/>
  <c r="J252"/>
  <c r="BW248"/>
  <c r="BJ248"/>
  <c r="BF248"/>
  <c r="BD248"/>
  <c r="AX248"/>
  <c r="AW248"/>
  <c r="BC248" s="1"/>
  <c r="AP248"/>
  <c r="BI248" s="1"/>
  <c r="AC248" s="1"/>
  <c r="AO248"/>
  <c r="BH248" s="1"/>
  <c r="AB248" s="1"/>
  <c r="AK248"/>
  <c r="AJ248"/>
  <c r="AH248"/>
  <c r="AG248"/>
  <c r="AF248"/>
  <c r="AE248"/>
  <c r="AD248"/>
  <c r="Z248"/>
  <c r="O248"/>
  <c r="L248"/>
  <c r="AL248" s="1"/>
  <c r="K248"/>
  <c r="J248"/>
  <c r="BW244"/>
  <c r="BJ244"/>
  <c r="BD244"/>
  <c r="AW244"/>
  <c r="AP244"/>
  <c r="K244" s="1"/>
  <c r="AO244"/>
  <c r="BH244" s="1"/>
  <c r="AB244" s="1"/>
  <c r="AL244"/>
  <c r="AK244"/>
  <c r="AJ244"/>
  <c r="AH244"/>
  <c r="AG244"/>
  <c r="AF244"/>
  <c r="AE244"/>
  <c r="AD244"/>
  <c r="Z244"/>
  <c r="O244"/>
  <c r="BF244" s="1"/>
  <c r="L244"/>
  <c r="M244" s="1"/>
  <c r="J244"/>
  <c r="BW240"/>
  <c r="BJ240"/>
  <c r="BF240"/>
  <c r="BD240"/>
  <c r="AX240"/>
  <c r="AW240"/>
  <c r="BC240" s="1"/>
  <c r="AP240"/>
  <c r="BI240" s="1"/>
  <c r="AC240" s="1"/>
  <c r="AO240"/>
  <c r="BH240" s="1"/>
  <c r="AB240" s="1"/>
  <c r="AK240"/>
  <c r="AJ240"/>
  <c r="AS232" s="1"/>
  <c r="AH240"/>
  <c r="AG240"/>
  <c r="AF240"/>
  <c r="AE240"/>
  <c r="AD240"/>
  <c r="Z240"/>
  <c r="O240"/>
  <c r="L240"/>
  <c r="M240" s="1"/>
  <c r="K240"/>
  <c r="J240"/>
  <c r="J232" s="1"/>
  <c r="BW233"/>
  <c r="BJ233"/>
  <c r="BD233"/>
  <c r="AW233"/>
  <c r="AP233"/>
  <c r="K233" s="1"/>
  <c r="K232" s="1"/>
  <c r="AO233"/>
  <c r="BH233" s="1"/>
  <c r="AB233" s="1"/>
  <c r="AL233"/>
  <c r="AK233"/>
  <c r="AJ233"/>
  <c r="AH233"/>
  <c r="AG233"/>
  <c r="AF233"/>
  <c r="AE233"/>
  <c r="AD233"/>
  <c r="Z233"/>
  <c r="O233"/>
  <c r="BF233" s="1"/>
  <c r="L233"/>
  <c r="M233" s="1"/>
  <c r="J233"/>
  <c r="AT232"/>
  <c r="O232"/>
  <c r="BW230"/>
  <c r="BJ230"/>
  <c r="BF230"/>
  <c r="BD230"/>
  <c r="AX230"/>
  <c r="AP230"/>
  <c r="BI230" s="1"/>
  <c r="AE230" s="1"/>
  <c r="AO230"/>
  <c r="BH230" s="1"/>
  <c r="AD230" s="1"/>
  <c r="AK230"/>
  <c r="AJ230"/>
  <c r="AH230"/>
  <c r="AG230"/>
  <c r="AF230"/>
  <c r="AC230"/>
  <c r="AB230"/>
  <c r="Z230"/>
  <c r="O230"/>
  <c r="M230"/>
  <c r="L230"/>
  <c r="AL230" s="1"/>
  <c r="K230"/>
  <c r="BW228"/>
  <c r="BJ228"/>
  <c r="BI228"/>
  <c r="AE228" s="1"/>
  <c r="BD228"/>
  <c r="AX228"/>
  <c r="AV228" s="1"/>
  <c r="AW228"/>
  <c r="AP228"/>
  <c r="AO228"/>
  <c r="BH228" s="1"/>
  <c r="AD228" s="1"/>
  <c r="AL228"/>
  <c r="AK228"/>
  <c r="AJ228"/>
  <c r="AH228"/>
  <c r="AG228"/>
  <c r="AF228"/>
  <c r="AC228"/>
  <c r="AB228"/>
  <c r="Z228"/>
  <c r="O228"/>
  <c r="BF228" s="1"/>
  <c r="L228"/>
  <c r="M228" s="1"/>
  <c r="K228"/>
  <c r="J228"/>
  <c r="BW225"/>
  <c r="BJ225"/>
  <c r="BF225"/>
  <c r="BD225"/>
  <c r="AX225"/>
  <c r="AP225"/>
  <c r="BI225" s="1"/>
  <c r="AE225" s="1"/>
  <c r="AO225"/>
  <c r="BH225" s="1"/>
  <c r="AD225" s="1"/>
  <c r="AK225"/>
  <c r="AJ225"/>
  <c r="AS221" s="1"/>
  <c r="AH225"/>
  <c r="AG225"/>
  <c r="AF225"/>
  <c r="AC225"/>
  <c r="AB225"/>
  <c r="Z225"/>
  <c r="O225"/>
  <c r="M225"/>
  <c r="L225"/>
  <c r="K225"/>
  <c r="BW222"/>
  <c r="BJ222"/>
  <c r="BI222"/>
  <c r="AE222" s="1"/>
  <c r="BD222"/>
  <c r="AX222"/>
  <c r="AV222" s="1"/>
  <c r="AW222"/>
  <c r="AP222"/>
  <c r="AO222"/>
  <c r="BH222" s="1"/>
  <c r="AD222" s="1"/>
  <c r="AL222"/>
  <c r="AK222"/>
  <c r="AT221" s="1"/>
  <c r="AJ222"/>
  <c r="AH222"/>
  <c r="AG222"/>
  <c r="AF222"/>
  <c r="AC222"/>
  <c r="AB222"/>
  <c r="Z222"/>
  <c r="O222"/>
  <c r="O221" s="1"/>
  <c r="L222"/>
  <c r="M222" s="1"/>
  <c r="M221" s="1"/>
  <c r="K222"/>
  <c r="J222"/>
  <c r="K221"/>
  <c r="BW219"/>
  <c r="BJ219"/>
  <c r="BD219"/>
  <c r="AX219"/>
  <c r="AP219"/>
  <c r="BI219" s="1"/>
  <c r="AC219" s="1"/>
  <c r="AO219"/>
  <c r="AW219" s="1"/>
  <c r="AK219"/>
  <c r="AJ219"/>
  <c r="AH219"/>
  <c r="AG219"/>
  <c r="AF219"/>
  <c r="AE219"/>
  <c r="AD219"/>
  <c r="Z219"/>
  <c r="O219"/>
  <c r="BF219" s="1"/>
  <c r="L219"/>
  <c r="AL219" s="1"/>
  <c r="AU218" s="1"/>
  <c r="K219"/>
  <c r="AT218"/>
  <c r="AS218"/>
  <c r="O218"/>
  <c r="K218"/>
  <c r="BW216"/>
  <c r="BJ216"/>
  <c r="BI216"/>
  <c r="AC216" s="1"/>
  <c r="BD216"/>
  <c r="AP216"/>
  <c r="AX216" s="1"/>
  <c r="AO216"/>
  <c r="AW216" s="1"/>
  <c r="AL216"/>
  <c r="AK216"/>
  <c r="AJ216"/>
  <c r="AH216"/>
  <c r="AG216"/>
  <c r="AF216"/>
  <c r="AE216"/>
  <c r="AD216"/>
  <c r="Z216"/>
  <c r="O216"/>
  <c r="BF216" s="1"/>
  <c r="L216"/>
  <c r="M216" s="1"/>
  <c r="J216"/>
  <c r="BW214"/>
  <c r="BJ214"/>
  <c r="BH214"/>
  <c r="AB214" s="1"/>
  <c r="BD214"/>
  <c r="AX214"/>
  <c r="AP214"/>
  <c r="BI214" s="1"/>
  <c r="AC214" s="1"/>
  <c r="AO214"/>
  <c r="AW214" s="1"/>
  <c r="AK214"/>
  <c r="AJ214"/>
  <c r="AS209" s="1"/>
  <c r="AH214"/>
  <c r="AG214"/>
  <c r="AF214"/>
  <c r="AE214"/>
  <c r="AD214"/>
  <c r="Z214"/>
  <c r="O214"/>
  <c r="BF214" s="1"/>
  <c r="M214"/>
  <c r="L214"/>
  <c r="AL214" s="1"/>
  <c r="K214"/>
  <c r="BW212"/>
  <c r="BJ212"/>
  <c r="BD212"/>
  <c r="AX212"/>
  <c r="AP212"/>
  <c r="BI212" s="1"/>
  <c r="AC212" s="1"/>
  <c r="AO212"/>
  <c r="AW212" s="1"/>
  <c r="AL212"/>
  <c r="AK212"/>
  <c r="AJ212"/>
  <c r="AH212"/>
  <c r="AG212"/>
  <c r="AF212"/>
  <c r="AE212"/>
  <c r="AD212"/>
  <c r="Z212"/>
  <c r="O212"/>
  <c r="O209" s="1"/>
  <c r="L212"/>
  <c r="M212" s="1"/>
  <c r="K212"/>
  <c r="J212"/>
  <c r="BW210"/>
  <c r="BJ210"/>
  <c r="BH210"/>
  <c r="AB210" s="1"/>
  <c r="BD210"/>
  <c r="BC210"/>
  <c r="AX210"/>
  <c r="AW210"/>
  <c r="AV210" s="1"/>
  <c r="AP210"/>
  <c r="BI210" s="1"/>
  <c r="AC210" s="1"/>
  <c r="AO210"/>
  <c r="AK210"/>
  <c r="AJ210"/>
  <c r="AH210"/>
  <c r="AG210"/>
  <c r="AF210"/>
  <c r="AE210"/>
  <c r="AD210"/>
  <c r="Z210"/>
  <c r="O210"/>
  <c r="BF210" s="1"/>
  <c r="L210"/>
  <c r="AL210" s="1"/>
  <c r="AU209" s="1"/>
  <c r="K210"/>
  <c r="J210"/>
  <c r="BW207"/>
  <c r="BJ207"/>
  <c r="BI207"/>
  <c r="AC207" s="1"/>
  <c r="BD207"/>
  <c r="AP207"/>
  <c r="AX207" s="1"/>
  <c r="AO207"/>
  <c r="AW207" s="1"/>
  <c r="AL207"/>
  <c r="AK207"/>
  <c r="AJ207"/>
  <c r="AH207"/>
  <c r="AG207"/>
  <c r="AF207"/>
  <c r="AE207"/>
  <c r="AD207"/>
  <c r="Z207"/>
  <c r="O207"/>
  <c r="BF207" s="1"/>
  <c r="L207"/>
  <c r="M207" s="1"/>
  <c r="J207"/>
  <c r="BW205"/>
  <c r="BJ205"/>
  <c r="BH205"/>
  <c r="AB205" s="1"/>
  <c r="BD205"/>
  <c r="AX205"/>
  <c r="AP205"/>
  <c r="BI205" s="1"/>
  <c r="AC205" s="1"/>
  <c r="AO205"/>
  <c r="AW205" s="1"/>
  <c r="AK205"/>
  <c r="AJ205"/>
  <c r="AS200" s="1"/>
  <c r="AH205"/>
  <c r="AG205"/>
  <c r="AF205"/>
  <c r="AE205"/>
  <c r="AD205"/>
  <c r="Z205"/>
  <c r="O205"/>
  <c r="BF205" s="1"/>
  <c r="M205"/>
  <c r="L205"/>
  <c r="AL205" s="1"/>
  <c r="K205"/>
  <c r="BW203"/>
  <c r="BJ203"/>
  <c r="BD203"/>
  <c r="AX203"/>
  <c r="AP203"/>
  <c r="BI203" s="1"/>
  <c r="AC203" s="1"/>
  <c r="AO203"/>
  <c r="AW203" s="1"/>
  <c r="AL203"/>
  <c r="AK203"/>
  <c r="AJ203"/>
  <c r="AH203"/>
  <c r="AG203"/>
  <c r="AF203"/>
  <c r="AE203"/>
  <c r="AD203"/>
  <c r="Z203"/>
  <c r="O203"/>
  <c r="O200" s="1"/>
  <c r="L203"/>
  <c r="M203" s="1"/>
  <c r="K203"/>
  <c r="J203"/>
  <c r="BW201"/>
  <c r="BJ201"/>
  <c r="BH201"/>
  <c r="AB201" s="1"/>
  <c r="BD201"/>
  <c r="BC201"/>
  <c r="AX201"/>
  <c r="AW201"/>
  <c r="AV201" s="1"/>
  <c r="AP201"/>
  <c r="BI201" s="1"/>
  <c r="AC201" s="1"/>
  <c r="AO201"/>
  <c r="AK201"/>
  <c r="AJ201"/>
  <c r="AH201"/>
  <c r="AG201"/>
  <c r="AF201"/>
  <c r="AE201"/>
  <c r="AD201"/>
  <c r="Z201"/>
  <c r="O201"/>
  <c r="BF201" s="1"/>
  <c r="L201"/>
  <c r="AL201" s="1"/>
  <c r="AU200" s="1"/>
  <c r="K201"/>
  <c r="J201"/>
  <c r="BW198"/>
  <c r="BJ198"/>
  <c r="BI198"/>
  <c r="AG198" s="1"/>
  <c r="BD198"/>
  <c r="AP198"/>
  <c r="AX198" s="1"/>
  <c r="AO198"/>
  <c r="AW198" s="1"/>
  <c r="AL198"/>
  <c r="AK198"/>
  <c r="AT188" s="1"/>
  <c r="AJ198"/>
  <c r="AH198"/>
  <c r="AE198"/>
  <c r="AD198"/>
  <c r="AC198"/>
  <c r="AB198"/>
  <c r="Z198"/>
  <c r="O198"/>
  <c r="O188" s="1"/>
  <c r="L198"/>
  <c r="M198" s="1"/>
  <c r="K198"/>
  <c r="K188" s="1"/>
  <c r="J198"/>
  <c r="BW189"/>
  <c r="BJ189"/>
  <c r="BH189"/>
  <c r="AB189" s="1"/>
  <c r="BD189"/>
  <c r="BC189"/>
  <c r="AX189"/>
  <c r="AW189"/>
  <c r="AV189" s="1"/>
  <c r="AP189"/>
  <c r="BI189" s="1"/>
  <c r="AC189" s="1"/>
  <c r="AO189"/>
  <c r="AK189"/>
  <c r="AJ189"/>
  <c r="AH189"/>
  <c r="AG189"/>
  <c r="AF189"/>
  <c r="AE189"/>
  <c r="AD189"/>
  <c r="Z189"/>
  <c r="O189"/>
  <c r="BF189" s="1"/>
  <c r="L189"/>
  <c r="AL189" s="1"/>
  <c r="AU188" s="1"/>
  <c r="K189"/>
  <c r="J189"/>
  <c r="J188" s="1"/>
  <c r="AS188"/>
  <c r="BW184"/>
  <c r="BJ184"/>
  <c r="BI184"/>
  <c r="AC184" s="1"/>
  <c r="BD184"/>
  <c r="AP184"/>
  <c r="AX184" s="1"/>
  <c r="AO184"/>
  <c r="AW184" s="1"/>
  <c r="AL184"/>
  <c r="AK184"/>
  <c r="AT183" s="1"/>
  <c r="AJ184"/>
  <c r="AH184"/>
  <c r="AG184"/>
  <c r="AF184"/>
  <c r="AE184"/>
  <c r="AD184"/>
  <c r="Z184"/>
  <c r="O184"/>
  <c r="BF184" s="1"/>
  <c r="L184"/>
  <c r="M184" s="1"/>
  <c r="M183" s="1"/>
  <c r="J184"/>
  <c r="AU183"/>
  <c r="AS183"/>
  <c r="O183"/>
  <c r="L183"/>
  <c r="J183"/>
  <c r="BW181"/>
  <c r="BJ181"/>
  <c r="BD181"/>
  <c r="BC181"/>
  <c r="AX181"/>
  <c r="AW181"/>
  <c r="AV181" s="1"/>
  <c r="AP181"/>
  <c r="BI181" s="1"/>
  <c r="AC181" s="1"/>
  <c r="AO181"/>
  <c r="BH181" s="1"/>
  <c r="AB181" s="1"/>
  <c r="AK181"/>
  <c r="AJ181"/>
  <c r="AS176" s="1"/>
  <c r="AH181"/>
  <c r="AG181"/>
  <c r="AF181"/>
  <c r="AE181"/>
  <c r="AD181"/>
  <c r="Z181"/>
  <c r="O181"/>
  <c r="BF181" s="1"/>
  <c r="M181"/>
  <c r="L181"/>
  <c r="AL181" s="1"/>
  <c r="K181"/>
  <c r="J181"/>
  <c r="BW179"/>
  <c r="BJ179"/>
  <c r="BD179"/>
  <c r="AX179"/>
  <c r="AP179"/>
  <c r="BI179" s="1"/>
  <c r="AC179" s="1"/>
  <c r="AO179"/>
  <c r="AW179" s="1"/>
  <c r="AL179"/>
  <c r="AK179"/>
  <c r="AT176" s="1"/>
  <c r="AJ179"/>
  <c r="AH179"/>
  <c r="AG179"/>
  <c r="AF179"/>
  <c r="AE179"/>
  <c r="AD179"/>
  <c r="Z179"/>
  <c r="O179"/>
  <c r="O176" s="1"/>
  <c r="L179"/>
  <c r="M179" s="1"/>
  <c r="K179"/>
  <c r="K176" s="1"/>
  <c r="J179"/>
  <c r="BW177"/>
  <c r="M177" s="1"/>
  <c r="M176" s="1"/>
  <c r="BJ177"/>
  <c r="BH177"/>
  <c r="AB177" s="1"/>
  <c r="BD177"/>
  <c r="AX177"/>
  <c r="AW177"/>
  <c r="BC177" s="1"/>
  <c r="AP177"/>
  <c r="BI177" s="1"/>
  <c r="AC177" s="1"/>
  <c r="AO177"/>
  <c r="AK177"/>
  <c r="AJ177"/>
  <c r="AH177"/>
  <c r="AG177"/>
  <c r="AF177"/>
  <c r="AE177"/>
  <c r="AD177"/>
  <c r="Z177"/>
  <c r="O177"/>
  <c r="BF177" s="1"/>
  <c r="L177"/>
  <c r="AL177" s="1"/>
  <c r="K177"/>
  <c r="J177"/>
  <c r="J176" s="1"/>
  <c r="BW174"/>
  <c r="BJ174"/>
  <c r="BI174"/>
  <c r="AC174" s="1"/>
  <c r="BD174"/>
  <c r="AX174"/>
  <c r="AP174"/>
  <c r="AO174"/>
  <c r="AW174" s="1"/>
  <c r="AL174"/>
  <c r="AU173" s="1"/>
  <c r="AK174"/>
  <c r="AJ174"/>
  <c r="AH174"/>
  <c r="AG174"/>
  <c r="AF174"/>
  <c r="AE174"/>
  <c r="AD174"/>
  <c r="Z174"/>
  <c r="O174"/>
  <c r="BF174" s="1"/>
  <c r="L174"/>
  <c r="M174" s="1"/>
  <c r="M173" s="1"/>
  <c r="K174"/>
  <c r="J174"/>
  <c r="AT173"/>
  <c r="AS173"/>
  <c r="O173"/>
  <c r="L173"/>
  <c r="K173"/>
  <c r="J173"/>
  <c r="BW154"/>
  <c r="BJ154"/>
  <c r="BH154"/>
  <c r="AB154" s="1"/>
  <c r="BD154"/>
  <c r="BC154"/>
  <c r="AX154"/>
  <c r="AW154"/>
  <c r="AV154" s="1"/>
  <c r="AP154"/>
  <c r="BI154" s="1"/>
  <c r="AC154" s="1"/>
  <c r="AO154"/>
  <c r="AK154"/>
  <c r="AJ154"/>
  <c r="AS150" s="1"/>
  <c r="AH154"/>
  <c r="AG154"/>
  <c r="AF154"/>
  <c r="AE154"/>
  <c r="AD154"/>
  <c r="Z154"/>
  <c r="O154"/>
  <c r="BF154" s="1"/>
  <c r="L154"/>
  <c r="K154"/>
  <c r="J154"/>
  <c r="J150" s="1"/>
  <c r="BW151"/>
  <c r="BJ151"/>
  <c r="BD151"/>
  <c r="AX151"/>
  <c r="AP151"/>
  <c r="BI151" s="1"/>
  <c r="AC151" s="1"/>
  <c r="AO151"/>
  <c r="AW151" s="1"/>
  <c r="AL151"/>
  <c r="AK151"/>
  <c r="AJ151"/>
  <c r="AH151"/>
  <c r="AG151"/>
  <c r="AF151"/>
  <c r="AE151"/>
  <c r="AD151"/>
  <c r="Z151"/>
  <c r="O151"/>
  <c r="BF151" s="1"/>
  <c r="L151"/>
  <c r="M151" s="1"/>
  <c r="K151"/>
  <c r="K150" s="1"/>
  <c r="J151"/>
  <c r="AT150"/>
  <c r="BW148"/>
  <c r="BJ148"/>
  <c r="BH148"/>
  <c r="AB148" s="1"/>
  <c r="BD148"/>
  <c r="AX148"/>
  <c r="AP148"/>
  <c r="BI148" s="1"/>
  <c r="AC148" s="1"/>
  <c r="AO148"/>
  <c r="AW148" s="1"/>
  <c r="AK148"/>
  <c r="AJ148"/>
  <c r="AH148"/>
  <c r="AG148"/>
  <c r="AF148"/>
  <c r="AE148"/>
  <c r="AD148"/>
  <c r="Z148"/>
  <c r="O148"/>
  <c r="BF148" s="1"/>
  <c r="M148"/>
  <c r="L148"/>
  <c r="AL148" s="1"/>
  <c r="K148"/>
  <c r="BW146"/>
  <c r="BJ146"/>
  <c r="BD146"/>
  <c r="AX146"/>
  <c r="AP146"/>
  <c r="BI146" s="1"/>
  <c r="AC146" s="1"/>
  <c r="AO146"/>
  <c r="AW146" s="1"/>
  <c r="AL146"/>
  <c r="AK146"/>
  <c r="AJ146"/>
  <c r="AH146"/>
  <c r="AG146"/>
  <c r="AF146"/>
  <c r="AE146"/>
  <c r="AD146"/>
  <c r="Z146"/>
  <c r="O146"/>
  <c r="BF146" s="1"/>
  <c r="L146"/>
  <c r="M146" s="1"/>
  <c r="K146"/>
  <c r="J146"/>
  <c r="BW144"/>
  <c r="BJ144"/>
  <c r="BH144"/>
  <c r="AB144" s="1"/>
  <c r="BD144"/>
  <c r="BC144"/>
  <c r="AX144"/>
  <c r="AW144"/>
  <c r="AV144" s="1"/>
  <c r="AP144"/>
  <c r="BI144" s="1"/>
  <c r="AC144" s="1"/>
  <c r="AO144"/>
  <c r="AK144"/>
  <c r="AJ144"/>
  <c r="AH144"/>
  <c r="AG144"/>
  <c r="AF144"/>
  <c r="AE144"/>
  <c r="AD144"/>
  <c r="Z144"/>
  <c r="O144"/>
  <c r="BF144" s="1"/>
  <c r="L144"/>
  <c r="AL144" s="1"/>
  <c r="K144"/>
  <c r="J144"/>
  <c r="BW140"/>
  <c r="BJ140"/>
  <c r="BD140"/>
  <c r="AX140"/>
  <c r="AP140"/>
  <c r="BI140" s="1"/>
  <c r="AC140" s="1"/>
  <c r="AO140"/>
  <c r="AW140" s="1"/>
  <c r="AL140"/>
  <c r="AK140"/>
  <c r="AJ140"/>
  <c r="AH140"/>
  <c r="AG140"/>
  <c r="AF140"/>
  <c r="AE140"/>
  <c r="AD140"/>
  <c r="Z140"/>
  <c r="O140"/>
  <c r="BF140" s="1"/>
  <c r="L140"/>
  <c r="M140" s="1"/>
  <c r="K140"/>
  <c r="K116" s="1"/>
  <c r="J140"/>
  <c r="BW122"/>
  <c r="BJ122"/>
  <c r="BD122"/>
  <c r="AX122"/>
  <c r="AW122"/>
  <c r="BC122" s="1"/>
  <c r="AP122"/>
  <c r="BI122" s="1"/>
  <c r="AC122" s="1"/>
  <c r="AO122"/>
  <c r="BH122" s="1"/>
  <c r="AB122" s="1"/>
  <c r="AK122"/>
  <c r="AJ122"/>
  <c r="AH122"/>
  <c r="AG122"/>
  <c r="AF122"/>
  <c r="AE122"/>
  <c r="AD122"/>
  <c r="Z122"/>
  <c r="O122"/>
  <c r="BF122" s="1"/>
  <c r="L122"/>
  <c r="M122" s="1"/>
  <c r="K122"/>
  <c r="J122"/>
  <c r="BW117"/>
  <c r="BJ117"/>
  <c r="BI117"/>
  <c r="BD117"/>
  <c r="AX117"/>
  <c r="AP117"/>
  <c r="AO117"/>
  <c r="AW117" s="1"/>
  <c r="AL117"/>
  <c r="AK117"/>
  <c r="AJ117"/>
  <c r="AH117"/>
  <c r="AG117"/>
  <c r="AF117"/>
  <c r="AE117"/>
  <c r="AD117"/>
  <c r="AC117"/>
  <c r="Z117"/>
  <c r="O117"/>
  <c r="BF117" s="1"/>
  <c r="L117"/>
  <c r="M117" s="1"/>
  <c r="K117"/>
  <c r="J117"/>
  <c r="AT116"/>
  <c r="BW114"/>
  <c r="BJ114"/>
  <c r="BH114"/>
  <c r="AB114" s="1"/>
  <c r="BD114"/>
  <c r="BC114"/>
  <c r="AX114"/>
  <c r="AW114"/>
  <c r="AV114" s="1"/>
  <c r="AP114"/>
  <c r="BI114" s="1"/>
  <c r="AC114" s="1"/>
  <c r="AO114"/>
  <c r="AK114"/>
  <c r="AJ114"/>
  <c r="AH114"/>
  <c r="AG114"/>
  <c r="AF114"/>
  <c r="AE114"/>
  <c r="AD114"/>
  <c r="Z114"/>
  <c r="O114"/>
  <c r="BF114" s="1"/>
  <c r="L114"/>
  <c r="AL114" s="1"/>
  <c r="K114"/>
  <c r="J114"/>
  <c r="BW112"/>
  <c r="BJ112"/>
  <c r="BD112"/>
  <c r="AX112"/>
  <c r="AP112"/>
  <c r="BI112" s="1"/>
  <c r="AC112" s="1"/>
  <c r="AO112"/>
  <c r="AW112" s="1"/>
  <c r="AL112"/>
  <c r="AK112"/>
  <c r="AJ112"/>
  <c r="AH112"/>
  <c r="AG112"/>
  <c r="AF112"/>
  <c r="AE112"/>
  <c r="AD112"/>
  <c r="Z112"/>
  <c r="O112"/>
  <c r="BF112" s="1"/>
  <c r="L112"/>
  <c r="M112" s="1"/>
  <c r="K112"/>
  <c r="J112"/>
  <c r="BW108"/>
  <c r="BJ108"/>
  <c r="BD108"/>
  <c r="AX108"/>
  <c r="AW108"/>
  <c r="BC108" s="1"/>
  <c r="AP108"/>
  <c r="BI108" s="1"/>
  <c r="AC108" s="1"/>
  <c r="AO108"/>
  <c r="BH108" s="1"/>
  <c r="AB108" s="1"/>
  <c r="AK108"/>
  <c r="AJ108"/>
  <c r="AH108"/>
  <c r="AG108"/>
  <c r="AF108"/>
  <c r="AE108"/>
  <c r="AD108"/>
  <c r="Z108"/>
  <c r="O108"/>
  <c r="BF108" s="1"/>
  <c r="L108"/>
  <c r="AL108" s="1"/>
  <c r="K108"/>
  <c r="J108"/>
  <c r="BW106"/>
  <c r="BJ106"/>
  <c r="BI106"/>
  <c r="BD106"/>
  <c r="AX106"/>
  <c r="AP106"/>
  <c r="AO106"/>
  <c r="AW106" s="1"/>
  <c r="AL106"/>
  <c r="AK106"/>
  <c r="AJ106"/>
  <c r="AH106"/>
  <c r="AG106"/>
  <c r="AF106"/>
  <c r="AE106"/>
  <c r="AD106"/>
  <c r="AC106"/>
  <c r="Z106"/>
  <c r="O106"/>
  <c r="BF106" s="1"/>
  <c r="L106"/>
  <c r="M106" s="1"/>
  <c r="K106"/>
  <c r="J106"/>
  <c r="BW103"/>
  <c r="M103" s="1"/>
  <c r="BJ103"/>
  <c r="BD103"/>
  <c r="AX103"/>
  <c r="AP103"/>
  <c r="BI103" s="1"/>
  <c r="AC103" s="1"/>
  <c r="AO103"/>
  <c r="AW103" s="1"/>
  <c r="AK103"/>
  <c r="AJ103"/>
  <c r="AH103"/>
  <c r="AG103"/>
  <c r="AF103"/>
  <c r="AE103"/>
  <c r="AD103"/>
  <c r="Z103"/>
  <c r="O103"/>
  <c r="BF103" s="1"/>
  <c r="L103"/>
  <c r="AL103" s="1"/>
  <c r="K103"/>
  <c r="BW101"/>
  <c r="BJ101"/>
  <c r="BI101"/>
  <c r="AC101" s="1"/>
  <c r="BD101"/>
  <c r="AP101"/>
  <c r="AX101" s="1"/>
  <c r="AO101"/>
  <c r="AW101" s="1"/>
  <c r="AL101"/>
  <c r="AK101"/>
  <c r="AJ101"/>
  <c r="AH101"/>
  <c r="AG101"/>
  <c r="AF101"/>
  <c r="AE101"/>
  <c r="AD101"/>
  <c r="Z101"/>
  <c r="O101"/>
  <c r="BF101" s="1"/>
  <c r="L101"/>
  <c r="M101" s="1"/>
  <c r="J101"/>
  <c r="BW98"/>
  <c r="BJ98"/>
  <c r="BH98"/>
  <c r="AB98" s="1"/>
  <c r="BD98"/>
  <c r="AX98"/>
  <c r="AP98"/>
  <c r="BI98" s="1"/>
  <c r="AC98" s="1"/>
  <c r="AO98"/>
  <c r="AW98" s="1"/>
  <c r="AK98"/>
  <c r="AJ98"/>
  <c r="AS92" s="1"/>
  <c r="AH98"/>
  <c r="AG98"/>
  <c r="AF98"/>
  <c r="AE98"/>
  <c r="AD98"/>
  <c r="Z98"/>
  <c r="O98"/>
  <c r="BF98" s="1"/>
  <c r="M98"/>
  <c r="L98"/>
  <c r="AL98" s="1"/>
  <c r="K98"/>
  <c r="BW95"/>
  <c r="BJ95"/>
  <c r="BD95"/>
  <c r="AX95"/>
  <c r="AP95"/>
  <c r="BI95" s="1"/>
  <c r="AC95" s="1"/>
  <c r="AO95"/>
  <c r="AW95" s="1"/>
  <c r="AL95"/>
  <c r="AK95"/>
  <c r="AJ95"/>
  <c r="AH95"/>
  <c r="AG95"/>
  <c r="AF95"/>
  <c r="AE95"/>
  <c r="AD95"/>
  <c r="Z95"/>
  <c r="O95"/>
  <c r="O92" s="1"/>
  <c r="L95"/>
  <c r="M95" s="1"/>
  <c r="K95"/>
  <c r="J95"/>
  <c r="BW93"/>
  <c r="BJ93"/>
  <c r="BH93"/>
  <c r="AB93" s="1"/>
  <c r="BD93"/>
  <c r="BC93"/>
  <c r="AX93"/>
  <c r="AW93"/>
  <c r="AV93" s="1"/>
  <c r="AP93"/>
  <c r="BI93" s="1"/>
  <c r="AC93" s="1"/>
  <c r="AO93"/>
  <c r="AK93"/>
  <c r="AJ93"/>
  <c r="AH93"/>
  <c r="AG93"/>
  <c r="AF93"/>
  <c r="AE93"/>
  <c r="AD93"/>
  <c r="Z93"/>
  <c r="O93"/>
  <c r="BF93" s="1"/>
  <c r="L93"/>
  <c r="AL93" s="1"/>
  <c r="AU92" s="1"/>
  <c r="K93"/>
  <c r="J93"/>
  <c r="BW90"/>
  <c r="BJ90"/>
  <c r="BI90"/>
  <c r="AC90" s="1"/>
  <c r="BD90"/>
  <c r="AP90"/>
  <c r="AX90" s="1"/>
  <c r="AO90"/>
  <c r="AW90" s="1"/>
  <c r="AL90"/>
  <c r="AK90"/>
  <c r="AT74" s="1"/>
  <c r="AJ90"/>
  <c r="AH90"/>
  <c r="AG90"/>
  <c r="AF90"/>
  <c r="AE90"/>
  <c r="AD90"/>
  <c r="Z90"/>
  <c r="O90"/>
  <c r="BF90" s="1"/>
  <c r="L90"/>
  <c r="M90" s="1"/>
  <c r="J90"/>
  <c r="BW81"/>
  <c r="BJ81"/>
  <c r="BH81"/>
  <c r="AB81" s="1"/>
  <c r="BD81"/>
  <c r="AX81"/>
  <c r="AP81"/>
  <c r="BI81" s="1"/>
  <c r="AC81" s="1"/>
  <c r="AO81"/>
  <c r="AW81" s="1"/>
  <c r="AK81"/>
  <c r="AJ81"/>
  <c r="AH81"/>
  <c r="AG81"/>
  <c r="AF81"/>
  <c r="AE81"/>
  <c r="AD81"/>
  <c r="Z81"/>
  <c r="O81"/>
  <c r="BF81" s="1"/>
  <c r="M81"/>
  <c r="L81"/>
  <c r="AL81" s="1"/>
  <c r="K81"/>
  <c r="BW79"/>
  <c r="BJ79"/>
  <c r="BD79"/>
  <c r="AX79"/>
  <c r="AP79"/>
  <c r="BI79" s="1"/>
  <c r="AC79" s="1"/>
  <c r="AO79"/>
  <c r="AW79" s="1"/>
  <c r="AL79"/>
  <c r="AK79"/>
  <c r="AJ79"/>
  <c r="AH79"/>
  <c r="AG79"/>
  <c r="AF79"/>
  <c r="AE79"/>
  <c r="AD79"/>
  <c r="Z79"/>
  <c r="O79"/>
  <c r="BF79" s="1"/>
  <c r="L79"/>
  <c r="M79" s="1"/>
  <c r="K79"/>
  <c r="J79"/>
  <c r="BW77"/>
  <c r="BJ77"/>
  <c r="BH77"/>
  <c r="AB77" s="1"/>
  <c r="BD77"/>
  <c r="BC77"/>
  <c r="AX77"/>
  <c r="AW77"/>
  <c r="AV77" s="1"/>
  <c r="AP77"/>
  <c r="BI77" s="1"/>
  <c r="AC77" s="1"/>
  <c r="AO77"/>
  <c r="AK77"/>
  <c r="AJ77"/>
  <c r="AH77"/>
  <c r="AG77"/>
  <c r="AF77"/>
  <c r="AE77"/>
  <c r="AD77"/>
  <c r="Z77"/>
  <c r="O77"/>
  <c r="BF77" s="1"/>
  <c r="L77"/>
  <c r="K77"/>
  <c r="J77"/>
  <c r="BW75"/>
  <c r="BJ75"/>
  <c r="BD75"/>
  <c r="AX75"/>
  <c r="AP75"/>
  <c r="BI75" s="1"/>
  <c r="AC75" s="1"/>
  <c r="AO75"/>
  <c r="AW75" s="1"/>
  <c r="AL75"/>
  <c r="AK75"/>
  <c r="AJ75"/>
  <c r="AH75"/>
  <c r="AG75"/>
  <c r="AF75"/>
  <c r="AE75"/>
  <c r="AD75"/>
  <c r="Z75"/>
  <c r="O75"/>
  <c r="BF75" s="1"/>
  <c r="L75"/>
  <c r="M75" s="1"/>
  <c r="K75"/>
  <c r="J75"/>
  <c r="BW72"/>
  <c r="BJ72"/>
  <c r="BH72"/>
  <c r="AB72" s="1"/>
  <c r="BD72"/>
  <c r="AX72"/>
  <c r="AP72"/>
  <c r="BI72" s="1"/>
  <c r="AC72" s="1"/>
  <c r="AO72"/>
  <c r="AW72" s="1"/>
  <c r="AK72"/>
  <c r="AJ72"/>
  <c r="AH72"/>
  <c r="AG72"/>
  <c r="AF72"/>
  <c r="AE72"/>
  <c r="AD72"/>
  <c r="Z72"/>
  <c r="O72"/>
  <c r="BF72" s="1"/>
  <c r="M72"/>
  <c r="L72"/>
  <c r="AL72" s="1"/>
  <c r="K72"/>
  <c r="BW61"/>
  <c r="BJ61"/>
  <c r="BD61"/>
  <c r="AX61"/>
  <c r="AP61"/>
  <c r="BI61" s="1"/>
  <c r="AC61" s="1"/>
  <c r="AO61"/>
  <c r="AW61" s="1"/>
  <c r="AL61"/>
  <c r="AK61"/>
  <c r="AJ61"/>
  <c r="AH61"/>
  <c r="AG61"/>
  <c r="AF61"/>
  <c r="AE61"/>
  <c r="AD61"/>
  <c r="Z61"/>
  <c r="O61"/>
  <c r="BF61" s="1"/>
  <c r="L61"/>
  <c r="M61" s="1"/>
  <c r="K61"/>
  <c r="J61"/>
  <c r="BW55"/>
  <c r="BJ55"/>
  <c r="BH55"/>
  <c r="AB55" s="1"/>
  <c r="BD55"/>
  <c r="BC55"/>
  <c r="AX55"/>
  <c r="AW55"/>
  <c r="AV55" s="1"/>
  <c r="AP55"/>
  <c r="BI55" s="1"/>
  <c r="AC55" s="1"/>
  <c r="AO55"/>
  <c r="AK55"/>
  <c r="AJ55"/>
  <c r="AH55"/>
  <c r="AG55"/>
  <c r="AF55"/>
  <c r="AE55"/>
  <c r="AD55"/>
  <c r="Z55"/>
  <c r="O55"/>
  <c r="BF55" s="1"/>
  <c r="L55"/>
  <c r="AL55" s="1"/>
  <c r="K55"/>
  <c r="J55"/>
  <c r="BW53"/>
  <c r="BJ53"/>
  <c r="BD53"/>
  <c r="AX53"/>
  <c r="AP53"/>
  <c r="BI53" s="1"/>
  <c r="AC53" s="1"/>
  <c r="AO53"/>
  <c r="AW53" s="1"/>
  <c r="AL53"/>
  <c r="AK53"/>
  <c r="AJ53"/>
  <c r="AH53"/>
  <c r="AG53"/>
  <c r="AF53"/>
  <c r="AE53"/>
  <c r="AD53"/>
  <c r="Z53"/>
  <c r="O53"/>
  <c r="BF53" s="1"/>
  <c r="L53"/>
  <c r="M53" s="1"/>
  <c r="K53"/>
  <c r="J53"/>
  <c r="BW43"/>
  <c r="BJ43"/>
  <c r="BD43"/>
  <c r="AX43"/>
  <c r="AW43"/>
  <c r="BC43" s="1"/>
  <c r="AP43"/>
  <c r="BI43" s="1"/>
  <c r="AC43" s="1"/>
  <c r="AO43"/>
  <c r="BH43" s="1"/>
  <c r="AB43" s="1"/>
  <c r="AK43"/>
  <c r="AJ43"/>
  <c r="AH43"/>
  <c r="AG43"/>
  <c r="AF43"/>
  <c r="AE43"/>
  <c r="AD43"/>
  <c r="Z43"/>
  <c r="O43"/>
  <c r="BF43" s="1"/>
  <c r="L43"/>
  <c r="AL43" s="1"/>
  <c r="K43"/>
  <c r="J43"/>
  <c r="BW41"/>
  <c r="BJ41"/>
  <c r="BI41"/>
  <c r="BD41"/>
  <c r="AX41"/>
  <c r="AP41"/>
  <c r="AO41"/>
  <c r="AW41" s="1"/>
  <c r="AL41"/>
  <c r="AK41"/>
  <c r="AJ41"/>
  <c r="AH41"/>
  <c r="AG41"/>
  <c r="AF41"/>
  <c r="AE41"/>
  <c r="AD41"/>
  <c r="AC41"/>
  <c r="Z41"/>
  <c r="O41"/>
  <c r="L41"/>
  <c r="M41" s="1"/>
  <c r="K41"/>
  <c r="J41"/>
  <c r="BW39"/>
  <c r="BJ39"/>
  <c r="BD39"/>
  <c r="AX39"/>
  <c r="AP39"/>
  <c r="BI39" s="1"/>
  <c r="AC39" s="1"/>
  <c r="AO39"/>
  <c r="J39" s="1"/>
  <c r="AK39"/>
  <c r="AJ39"/>
  <c r="AH39"/>
  <c r="AG39"/>
  <c r="AF39"/>
  <c r="AE39"/>
  <c r="AD39"/>
  <c r="Z39"/>
  <c r="O39"/>
  <c r="BF39" s="1"/>
  <c r="L39"/>
  <c r="AL39" s="1"/>
  <c r="K39"/>
  <c r="AT38"/>
  <c r="AS38"/>
  <c r="BW36"/>
  <c r="BJ36"/>
  <c r="BI36"/>
  <c r="BF36"/>
  <c r="BD36"/>
  <c r="AX36"/>
  <c r="AV36" s="1"/>
  <c r="AP36"/>
  <c r="AO36"/>
  <c r="AW36" s="1"/>
  <c r="AK36"/>
  <c r="AJ36"/>
  <c r="AH36"/>
  <c r="AG36"/>
  <c r="AF36"/>
  <c r="AE36"/>
  <c r="AD36"/>
  <c r="AC36"/>
  <c r="Z36"/>
  <c r="O36"/>
  <c r="L36"/>
  <c r="M36" s="1"/>
  <c r="K36"/>
  <c r="J36"/>
  <c r="BW34"/>
  <c r="BJ34"/>
  <c r="BD34"/>
  <c r="BC34"/>
  <c r="AX34"/>
  <c r="AW34"/>
  <c r="AV34" s="1"/>
  <c r="AP34"/>
  <c r="BI34" s="1"/>
  <c r="AC34" s="1"/>
  <c r="AO34"/>
  <c r="BH34" s="1"/>
  <c r="AB34" s="1"/>
  <c r="AK34"/>
  <c r="AJ34"/>
  <c r="AH34"/>
  <c r="AG34"/>
  <c r="AF34"/>
  <c r="AE34"/>
  <c r="AD34"/>
  <c r="Z34"/>
  <c r="O34"/>
  <c r="BF34" s="1"/>
  <c r="M34"/>
  <c r="L34"/>
  <c r="AL34" s="1"/>
  <c r="K34"/>
  <c r="BW32"/>
  <c r="BJ32"/>
  <c r="BI32"/>
  <c r="BF32"/>
  <c r="BD32"/>
  <c r="AX32"/>
  <c r="AV32" s="1"/>
  <c r="AP32"/>
  <c r="AO32"/>
  <c r="AW32" s="1"/>
  <c r="AK32"/>
  <c r="AJ32"/>
  <c r="AH32"/>
  <c r="AG32"/>
  <c r="AF32"/>
  <c r="AE32"/>
  <c r="AD32"/>
  <c r="AC32"/>
  <c r="Z32"/>
  <c r="O32"/>
  <c r="L32"/>
  <c r="M32" s="1"/>
  <c r="K32"/>
  <c r="J32"/>
  <c r="BW30"/>
  <c r="BJ30"/>
  <c r="BD30"/>
  <c r="BC30"/>
  <c r="AX30"/>
  <c r="AW30"/>
  <c r="AV30" s="1"/>
  <c r="AP30"/>
  <c r="BI30" s="1"/>
  <c r="AC30" s="1"/>
  <c r="AO30"/>
  <c r="BH30" s="1"/>
  <c r="AB30" s="1"/>
  <c r="AK30"/>
  <c r="AJ30"/>
  <c r="AH30"/>
  <c r="AG30"/>
  <c r="AF30"/>
  <c r="AE30"/>
  <c r="AD30"/>
  <c r="Z30"/>
  <c r="O30"/>
  <c r="BF30" s="1"/>
  <c r="M30"/>
  <c r="L30"/>
  <c r="AL30" s="1"/>
  <c r="K30"/>
  <c r="BW26"/>
  <c r="BJ26"/>
  <c r="BI26"/>
  <c r="BF26"/>
  <c r="BD26"/>
  <c r="AX26"/>
  <c r="AV26" s="1"/>
  <c r="AP26"/>
  <c r="AO26"/>
  <c r="AW26" s="1"/>
  <c r="AK26"/>
  <c r="AJ26"/>
  <c r="AH26"/>
  <c r="AG26"/>
  <c r="AF26"/>
  <c r="AE26"/>
  <c r="AD26"/>
  <c r="AC26"/>
  <c r="Z26"/>
  <c r="O26"/>
  <c r="O21" s="1"/>
  <c r="L26"/>
  <c r="M26" s="1"/>
  <c r="K26"/>
  <c r="K21" s="1"/>
  <c r="J26"/>
  <c r="BW22"/>
  <c r="BJ22"/>
  <c r="BD22"/>
  <c r="BC22"/>
  <c r="AX22"/>
  <c r="AW22"/>
  <c r="AV22" s="1"/>
  <c r="AP22"/>
  <c r="BI22" s="1"/>
  <c r="AC22" s="1"/>
  <c r="AO22"/>
  <c r="BH22" s="1"/>
  <c r="AB22" s="1"/>
  <c r="AK22"/>
  <c r="AT21" s="1"/>
  <c r="AJ22"/>
  <c r="AS21" s="1"/>
  <c r="AH22"/>
  <c r="AG22"/>
  <c r="AF22"/>
  <c r="AE22"/>
  <c r="AD22"/>
  <c r="Z22"/>
  <c r="O22"/>
  <c r="BF22" s="1"/>
  <c r="M22"/>
  <c r="M21" s="1"/>
  <c r="L22"/>
  <c r="AL22" s="1"/>
  <c r="K22"/>
  <c r="L21"/>
  <c r="BW19"/>
  <c r="BJ19"/>
  <c r="BD19"/>
  <c r="AP19"/>
  <c r="AX19" s="1"/>
  <c r="AV19" s="1"/>
  <c r="AO19"/>
  <c r="AW19" s="1"/>
  <c r="AL19"/>
  <c r="AK19"/>
  <c r="AJ19"/>
  <c r="AH19"/>
  <c r="AG19"/>
  <c r="AF19"/>
  <c r="AE19"/>
  <c r="AD19"/>
  <c r="Z19"/>
  <c r="O19"/>
  <c r="BF19" s="1"/>
  <c r="L19"/>
  <c r="M19" s="1"/>
  <c r="K19"/>
  <c r="J19"/>
  <c r="BW17"/>
  <c r="M17" s="1"/>
  <c r="BJ17"/>
  <c r="BD17"/>
  <c r="AX17"/>
  <c r="AW17"/>
  <c r="BC17" s="1"/>
  <c r="AP17"/>
  <c r="BI17" s="1"/>
  <c r="AC17" s="1"/>
  <c r="AO17"/>
  <c r="BH17" s="1"/>
  <c r="AB17" s="1"/>
  <c r="AK17"/>
  <c r="AJ17"/>
  <c r="AH17"/>
  <c r="AG17"/>
  <c r="AF17"/>
  <c r="AE17"/>
  <c r="AD17"/>
  <c r="Z17"/>
  <c r="O17"/>
  <c r="BF17" s="1"/>
  <c r="L17"/>
  <c r="AL17" s="1"/>
  <c r="K17"/>
  <c r="J17"/>
  <c r="BW15"/>
  <c r="BJ15"/>
  <c r="BD15"/>
  <c r="AP15"/>
  <c r="AX15" s="1"/>
  <c r="AV15" s="1"/>
  <c r="AO15"/>
  <c r="AW15" s="1"/>
  <c r="AL15"/>
  <c r="AK15"/>
  <c r="AJ15"/>
  <c r="AH15"/>
  <c r="AG15"/>
  <c r="AF15"/>
  <c r="AE15"/>
  <c r="AD15"/>
  <c r="Z15"/>
  <c r="O15"/>
  <c r="BF15" s="1"/>
  <c r="L15"/>
  <c r="M15" s="1"/>
  <c r="K15"/>
  <c r="K12" s="1"/>
  <c r="J15"/>
  <c r="BW13"/>
  <c r="M13" s="1"/>
  <c r="M12" s="1"/>
  <c r="BJ13"/>
  <c r="BD13"/>
  <c r="AX13"/>
  <c r="AW13"/>
  <c r="BC13" s="1"/>
  <c r="AP13"/>
  <c r="BI13" s="1"/>
  <c r="AC13" s="1"/>
  <c r="AO13"/>
  <c r="BH13" s="1"/>
  <c r="AB13" s="1"/>
  <c r="AK13"/>
  <c r="AJ13"/>
  <c r="AH13"/>
  <c r="AG13"/>
  <c r="AF13"/>
  <c r="AE13"/>
  <c r="AD13"/>
  <c r="Z13"/>
  <c r="O13"/>
  <c r="BF13" s="1"/>
  <c r="L13"/>
  <c r="AL13" s="1"/>
  <c r="K13"/>
  <c r="J13"/>
  <c r="J12" s="1"/>
  <c r="AT12"/>
  <c r="AS12"/>
  <c r="L12"/>
  <c r="AU1"/>
  <c r="AT1"/>
  <c r="AS1"/>
  <c r="F22" i="2" l="1"/>
  <c r="AV366" i="1"/>
  <c r="BC366"/>
  <c r="BC72"/>
  <c r="AV72"/>
  <c r="AV345"/>
  <c r="BC345"/>
  <c r="AV103"/>
  <c r="BC103"/>
  <c r="AV205"/>
  <c r="BC205"/>
  <c r="K74"/>
  <c r="AU221"/>
  <c r="BC81"/>
  <c r="AV81"/>
  <c r="J38"/>
  <c r="BC148"/>
  <c r="AV148"/>
  <c r="AV98"/>
  <c r="BC98"/>
  <c r="AV214"/>
  <c r="BC214"/>
  <c r="AV219"/>
  <c r="BC219"/>
  <c r="AV53"/>
  <c r="BC53"/>
  <c r="AV140"/>
  <c r="BC140"/>
  <c r="AV151"/>
  <c r="BC151"/>
  <c r="L221"/>
  <c r="AL225"/>
  <c r="AV61"/>
  <c r="BC61"/>
  <c r="AV79"/>
  <c r="BC79"/>
  <c r="AV95"/>
  <c r="BC95"/>
  <c r="AV146"/>
  <c r="BC146"/>
  <c r="AV203"/>
  <c r="BC203"/>
  <c r="AV212"/>
  <c r="BC212"/>
  <c r="C18" i="2"/>
  <c r="J116" i="1"/>
  <c r="BF212"/>
  <c r="BC369"/>
  <c r="C17" i="2"/>
  <c r="AV248" i="1"/>
  <c r="AV274"/>
  <c r="AV321"/>
  <c r="J74"/>
  <c r="BH103"/>
  <c r="AB103" s="1"/>
  <c r="BH366"/>
  <c r="BI244"/>
  <c r="AC244" s="1"/>
  <c r="BI252"/>
  <c r="AC252" s="1"/>
  <c r="BI272"/>
  <c r="AC272" s="1"/>
  <c r="BI276"/>
  <c r="AC276" s="1"/>
  <c r="BI280"/>
  <c r="AC280" s="1"/>
  <c r="C15" i="2" s="1"/>
  <c r="BC289" i="1"/>
  <c r="BC294"/>
  <c r="BC299"/>
  <c r="BC304"/>
  <c r="BC310"/>
  <c r="BC318"/>
  <c r="BI323"/>
  <c r="AC323" s="1"/>
  <c r="BC328"/>
  <c r="BC334"/>
  <c r="BC338"/>
  <c r="BC342"/>
  <c r="BI364"/>
  <c r="AU389"/>
  <c r="O12"/>
  <c r="C21" i="2"/>
  <c r="C28"/>
  <c r="F28" s="1"/>
  <c r="BI15" i="1"/>
  <c r="AC15" s="1"/>
  <c r="BI19"/>
  <c r="AC19" s="1"/>
  <c r="J22"/>
  <c r="J30"/>
  <c r="J34"/>
  <c r="M39"/>
  <c r="O38"/>
  <c r="BF41"/>
  <c r="J72"/>
  <c r="O74"/>
  <c r="J81"/>
  <c r="K90"/>
  <c r="J98"/>
  <c r="J92" s="1"/>
  <c r="K101"/>
  <c r="K92" s="1"/>
  <c r="J148"/>
  <c r="O150"/>
  <c r="L176"/>
  <c r="K184"/>
  <c r="K183" s="1"/>
  <c r="J205"/>
  <c r="J200" s="1"/>
  <c r="K207"/>
  <c r="J214"/>
  <c r="J209" s="1"/>
  <c r="K216"/>
  <c r="L218"/>
  <c r="M219"/>
  <c r="M218" s="1"/>
  <c r="BC222"/>
  <c r="AW225"/>
  <c r="BC228"/>
  <c r="AW230"/>
  <c r="J283"/>
  <c r="AW283"/>
  <c r="J291"/>
  <c r="AW291"/>
  <c r="J296"/>
  <c r="AW296"/>
  <c r="J301"/>
  <c r="AW301"/>
  <c r="J307"/>
  <c r="AW307"/>
  <c r="J313"/>
  <c r="AW313"/>
  <c r="BF323"/>
  <c r="J326"/>
  <c r="AW326"/>
  <c r="J332"/>
  <c r="AW332"/>
  <c r="J336"/>
  <c r="AW336"/>
  <c r="J340"/>
  <c r="AW340"/>
  <c r="AX348"/>
  <c r="AV348" s="1"/>
  <c r="O368"/>
  <c r="BI369"/>
  <c r="M374"/>
  <c r="BI387"/>
  <c r="BC390"/>
  <c r="AV106"/>
  <c r="BC106"/>
  <c r="AV117"/>
  <c r="BC117"/>
  <c r="AV112"/>
  <c r="BC112"/>
  <c r="AV179"/>
  <c r="BC179"/>
  <c r="AV174"/>
  <c r="BC174"/>
  <c r="BF203"/>
  <c r="BH345"/>
  <c r="AB345" s="1"/>
  <c r="AV13"/>
  <c r="AV17"/>
  <c r="AV108"/>
  <c r="BF222"/>
  <c r="AV240"/>
  <c r="AV256"/>
  <c r="AV262"/>
  <c r="BH377"/>
  <c r="C16" i="2"/>
  <c r="O116" i="1"/>
  <c r="AV177"/>
  <c r="BF198"/>
  <c r="K209"/>
  <c r="BH219"/>
  <c r="AB219" s="1"/>
  <c r="BI233"/>
  <c r="AC233" s="1"/>
  <c r="BI260"/>
  <c r="AC260" s="1"/>
  <c r="BI268"/>
  <c r="AC268" s="1"/>
  <c r="C27" i="2"/>
  <c r="BC26" i="1"/>
  <c r="BC32"/>
  <c r="BC36"/>
  <c r="AU38"/>
  <c r="M43"/>
  <c r="L92"/>
  <c r="M108"/>
  <c r="AS116"/>
  <c r="L188"/>
  <c r="L200"/>
  <c r="L209"/>
  <c r="J225"/>
  <c r="J221" s="1"/>
  <c r="J230"/>
  <c r="M248"/>
  <c r="M256"/>
  <c r="M262"/>
  <c r="M270"/>
  <c r="M232" s="1"/>
  <c r="M274"/>
  <c r="M278"/>
  <c r="M321"/>
  <c r="M320" s="1"/>
  <c r="J345"/>
  <c r="J344" s="1"/>
  <c r="L350"/>
  <c r="M363"/>
  <c r="K375"/>
  <c r="K379"/>
  <c r="K383"/>
  <c r="BC385"/>
  <c r="AV41"/>
  <c r="BC41"/>
  <c r="AV90"/>
  <c r="BC90"/>
  <c r="AV101"/>
  <c r="BC101"/>
  <c r="L116"/>
  <c r="AL122"/>
  <c r="AU116" s="1"/>
  <c r="AV184"/>
  <c r="BC184"/>
  <c r="AV198"/>
  <c r="BC198"/>
  <c r="AV207"/>
  <c r="BC207"/>
  <c r="AV216"/>
  <c r="BC216"/>
  <c r="L232"/>
  <c r="AL240"/>
  <c r="AU232" s="1"/>
  <c r="AV43"/>
  <c r="AV122"/>
  <c r="AV278"/>
  <c r="BC19"/>
  <c r="BH39"/>
  <c r="AB39" s="1"/>
  <c r="K200"/>
  <c r="AL36"/>
  <c r="AW39"/>
  <c r="AT92"/>
  <c r="J103"/>
  <c r="AT200"/>
  <c r="AT209"/>
  <c r="AX233"/>
  <c r="AV233" s="1"/>
  <c r="AX244"/>
  <c r="AV244" s="1"/>
  <c r="AX252"/>
  <c r="AV252" s="1"/>
  <c r="AX260"/>
  <c r="AV260" s="1"/>
  <c r="AX268"/>
  <c r="AV268" s="1"/>
  <c r="BC270"/>
  <c r="AX272"/>
  <c r="AV272" s="1"/>
  <c r="AX276"/>
  <c r="AV276" s="1"/>
  <c r="AX280"/>
  <c r="AV280" s="1"/>
  <c r="AU320"/>
  <c r="AX323"/>
  <c r="AV323" s="1"/>
  <c r="K364"/>
  <c r="K363" s="1"/>
  <c r="BC375"/>
  <c r="AW377"/>
  <c r="BC379"/>
  <c r="AW381"/>
  <c r="BC383"/>
  <c r="AV391"/>
  <c r="L74"/>
  <c r="L393" s="1"/>
  <c r="AL77"/>
  <c r="AU74" s="1"/>
  <c r="L150"/>
  <c r="AL154"/>
  <c r="AU150" s="1"/>
  <c r="AV75"/>
  <c r="BC75"/>
  <c r="BF95"/>
  <c r="BC358"/>
  <c r="BH381"/>
  <c r="BC15"/>
  <c r="AU21"/>
  <c r="L38"/>
  <c r="C20" i="2"/>
  <c r="AL26" i="1"/>
  <c r="C29" i="2" s="1"/>
  <c r="F29" s="1"/>
  <c r="AL32" i="1"/>
  <c r="K38"/>
  <c r="AU12"/>
  <c r="C19" i="2"/>
  <c r="M55" i="1"/>
  <c r="M74"/>
  <c r="M77"/>
  <c r="AS74"/>
  <c r="M93"/>
  <c r="M114"/>
  <c r="M144"/>
  <c r="M116" s="1"/>
  <c r="M150"/>
  <c r="M154"/>
  <c r="AU176"/>
  <c r="BF179"/>
  <c r="M189"/>
  <c r="M188" s="1"/>
  <c r="M201"/>
  <c r="M200" s="1"/>
  <c r="M210"/>
  <c r="M209" s="1"/>
  <c r="J219"/>
  <c r="J218" s="1"/>
  <c r="BC233"/>
  <c r="BC244"/>
  <c r="BC272"/>
  <c r="BC276"/>
  <c r="BC280"/>
  <c r="L282"/>
  <c r="L325"/>
  <c r="M351"/>
  <c r="M350" s="1"/>
  <c r="BC364"/>
  <c r="K369"/>
  <c r="K368" s="1"/>
  <c r="K387"/>
  <c r="AV387"/>
  <c r="BH15"/>
  <c r="AB15" s="1"/>
  <c r="C14" i="2" s="1"/>
  <c r="BH19" i="1"/>
  <c r="AB19" s="1"/>
  <c r="BH26"/>
  <c r="AB26" s="1"/>
  <c r="BH32"/>
  <c r="AB32" s="1"/>
  <c r="BH36"/>
  <c r="AB36" s="1"/>
  <c r="BH41"/>
  <c r="AB41" s="1"/>
  <c r="BH53"/>
  <c r="AB53" s="1"/>
  <c r="BH61"/>
  <c r="AB61" s="1"/>
  <c r="BH75"/>
  <c r="AB75" s="1"/>
  <c r="BH79"/>
  <c r="AB79" s="1"/>
  <c r="BH90"/>
  <c r="AB90" s="1"/>
  <c r="BH95"/>
  <c r="AB95" s="1"/>
  <c r="BH101"/>
  <c r="AB101" s="1"/>
  <c r="BH106"/>
  <c r="AB106" s="1"/>
  <c r="BH112"/>
  <c r="AB112" s="1"/>
  <c r="BH117"/>
  <c r="AB117" s="1"/>
  <c r="BH140"/>
  <c r="AB140" s="1"/>
  <c r="BH146"/>
  <c r="AB146" s="1"/>
  <c r="BH151"/>
  <c r="AB151" s="1"/>
  <c r="BH174"/>
  <c r="AB174" s="1"/>
  <c r="BH179"/>
  <c r="AB179" s="1"/>
  <c r="BH184"/>
  <c r="AB184" s="1"/>
  <c r="BH198"/>
  <c r="AF198" s="1"/>
  <c r="BH203"/>
  <c r="AB203" s="1"/>
  <c r="BH207"/>
  <c r="AB207" s="1"/>
  <c r="BH212"/>
  <c r="AB212" s="1"/>
  <c r="BH216"/>
  <c r="AB216" s="1"/>
  <c r="BC387"/>
  <c r="BC391"/>
  <c r="AL366"/>
  <c r="AU363" s="1"/>
  <c r="AL377"/>
  <c r="AU374" s="1"/>
  <c r="C22" i="2" l="1"/>
  <c r="BC296" i="1"/>
  <c r="AV296"/>
  <c r="BC225"/>
  <c r="AV225"/>
  <c r="AV377"/>
  <c r="BC377"/>
  <c r="AV326"/>
  <c r="BC326"/>
  <c r="AV301"/>
  <c r="BC301"/>
  <c r="AV230"/>
  <c r="BC230"/>
  <c r="J325"/>
  <c r="BC252"/>
  <c r="J21"/>
  <c r="BC260"/>
  <c r="BC348"/>
  <c r="AV381"/>
  <c r="BC381"/>
  <c r="BC332"/>
  <c r="AV332"/>
  <c r="BC268"/>
  <c r="I28" i="2"/>
  <c r="I29" s="1"/>
  <c r="J282" i="1"/>
  <c r="AV39"/>
  <c r="BC39"/>
  <c r="AV291"/>
  <c r="BC291"/>
  <c r="BC307"/>
  <c r="AV307"/>
  <c r="AV283"/>
  <c r="BC283"/>
  <c r="BC323"/>
  <c r="M92"/>
  <c r="M38"/>
  <c r="BC313"/>
  <c r="AV313"/>
  <c r="AV340"/>
  <c r="BC340"/>
  <c r="BC336"/>
  <c r="AV336"/>
  <c r="K374"/>
  <c r="M393" l="1"/>
</calcChain>
</file>

<file path=xl/sharedStrings.xml><?xml version="1.0" encoding="utf-8"?>
<sst xmlns="http://schemas.openxmlformats.org/spreadsheetml/2006/main" count="2522" uniqueCount="712">
  <si>
    <t>Stavební rozpočet</t>
  </si>
  <si>
    <t>Název stavby:</t>
  </si>
  <si>
    <t>NOVÁ PŘÍPOJKA TERMÁLNÍ VODY PRO AQUACENTRUM TEPLICE</t>
  </si>
  <si>
    <t>Doba výstavby:</t>
  </si>
  <si>
    <t xml:space="preserve"> </t>
  </si>
  <si>
    <t>Objednatel:</t>
  </si>
  <si>
    <t>AQUACENTRUM p.o., TEPLICE</t>
  </si>
  <si>
    <t>Druh stavby:</t>
  </si>
  <si>
    <t>SO 02 - OTV, ČTV do ATS a odpadní voda z AQC</t>
  </si>
  <si>
    <t>Začátek výstavby:</t>
  </si>
  <si>
    <t>Projektant:</t>
  </si>
  <si>
    <t>CHEMINVEST</t>
  </si>
  <si>
    <t>Lokalita:</t>
  </si>
  <si>
    <t>AQUACENTRUM TEPLICE</t>
  </si>
  <si>
    <t>Konec výstavby:</t>
  </si>
  <si>
    <t>Zhotovitel:</t>
  </si>
  <si>
    <t> </t>
  </si>
  <si>
    <t>JKSO:</t>
  </si>
  <si>
    <t>Zpracováno dne:</t>
  </si>
  <si>
    <t>29.08.2024</t>
  </si>
  <si>
    <t>Zpracoval:</t>
  </si>
  <si>
    <t>Kamila Možná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</si>
  <si>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</si>
  <si>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</si>
  <si>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</si>
  <si>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</si>
  <si>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</si>
  <si>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</si>
  <si>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</si>
  <si>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</si>
  <si>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</si>
  <si>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</si>
  <si>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</si>
  <si>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</si>
  <si>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</si>
  <si>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</si>
  <si>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</si>
  <si>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</si>
  <si>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</si>
  <si>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</si>
  <si>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</si>
  <si>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</si>
  <si>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</si>
  <si>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</si>
  <si>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</si>
  <si>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</si>
  <si>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</si>
  <si>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</si>
  <si>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</si>
  <si>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</si>
  <si>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</si>
  <si>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</si>
  <si>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</si>
  <si>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</si>
  <si>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</si>
  <si>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</si>
  <si>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</si>
  <si>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</si>
  <si>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</si>
  <si>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</si>
  <si>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</si>
  <si>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</si>
  <si>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</si>
  <si>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21</t>
  </si>
  <si>
    <t>0_</t>
  </si>
  <si>
    <t>_</t>
  </si>
  <si>
    <t>1;Vytýčení a vyznačení sítí včetně dozoru správců sítí;</t>
  </si>
  <si>
    <t>2</t>
  </si>
  <si>
    <t>001332224VD</t>
  </si>
  <si>
    <t>Přeložka 52m kabelů NN, chráničky, posun 3ks stožárů vč. připojení</t>
  </si>
  <si>
    <t>1;Přeložka 52m kabelů NN, chráničky, posun 3ks stožárů vč. připojení;</t>
  </si>
  <si>
    <t>3</t>
  </si>
  <si>
    <t>001332245VD</t>
  </si>
  <si>
    <t>Posouzení stavu patek trakčního vedení statikem</t>
  </si>
  <si>
    <t>4</t>
  </si>
  <si>
    <t>001332246VD</t>
  </si>
  <si>
    <t>Přitížení zákl. patky trakčního vedení dle návrhu statika</t>
  </si>
  <si>
    <t>kus</t>
  </si>
  <si>
    <t>3;patky;</t>
  </si>
  <si>
    <t>11</t>
  </si>
  <si>
    <t>Přípravné a přidružené práce</t>
  </si>
  <si>
    <t>5</t>
  </si>
  <si>
    <t>119001421R00</t>
  </si>
  <si>
    <t>Dočasné zajištění kabelů - do počtu 3 kabelů</t>
  </si>
  <si>
    <t>m</t>
  </si>
  <si>
    <t>RTS I / 2024</t>
  </si>
  <si>
    <t>11_</t>
  </si>
  <si>
    <t>1_</t>
  </si>
  <si>
    <t>27;modrá;</t>
  </si>
  <si>
    <t>38;hnědá;</t>
  </si>
  <si>
    <t>31;fialová;</t>
  </si>
  <si>
    <t>6</t>
  </si>
  <si>
    <t>119001412R00</t>
  </si>
  <si>
    <t>Dočasné zajištění beton.a plast.potrubí DN 200-500</t>
  </si>
  <si>
    <t>29;modrá;</t>
  </si>
  <si>
    <t>42;hnědá;</t>
  </si>
  <si>
    <t>44;fialová;</t>
  </si>
  <si>
    <t>7</t>
  </si>
  <si>
    <t>113106231R00</t>
  </si>
  <si>
    <t>Rozebrání dlažeb ze zámkové dlažby v kamenivu</t>
  </si>
  <si>
    <t>m2</t>
  </si>
  <si>
    <t>213,8</t>
  </si>
  <si>
    <t>8</t>
  </si>
  <si>
    <t>113107222RA0</t>
  </si>
  <si>
    <t>Odstranění asfaltobetonové vozovky pl. nad 50 m2</t>
  </si>
  <si>
    <t>507,2</t>
  </si>
  <si>
    <t>9</t>
  </si>
  <si>
    <t>113108305R00</t>
  </si>
  <si>
    <t>Odstranění asfaltové vrstvy chodníku pl.do 50 m2, tl. 5 cm</t>
  </si>
  <si>
    <t>132,8</t>
  </si>
  <si>
    <t>10</t>
  </si>
  <si>
    <t>113107510R00</t>
  </si>
  <si>
    <t>Odstranění podkladu chodníku pl. 50 m2,kam.drcené tl.10 cm</t>
  </si>
  <si>
    <t>132,8;viz asfalt chodník;</t>
  </si>
  <si>
    <t>13</t>
  </si>
  <si>
    <t>Hloubené vykopávky</t>
  </si>
  <si>
    <t>131301201R00</t>
  </si>
  <si>
    <t>Hloubení zapažených jam v hor.4 do 100 m3</t>
  </si>
  <si>
    <t>m3</t>
  </si>
  <si>
    <t>13_</t>
  </si>
  <si>
    <t>3*3*1,85;výkop pro šachtu;</t>
  </si>
  <si>
    <t>12</t>
  </si>
  <si>
    <t>131301209R00</t>
  </si>
  <si>
    <t>Příplatek za lepivost - hloubení zapaž.jam v hor.4</t>
  </si>
  <si>
    <t>16,65*0,2;příplatek 20%;</t>
  </si>
  <si>
    <t>132200112RA0</t>
  </si>
  <si>
    <t>Hloubení zapaž.rýh šířky.do 200 cm v hornině.1-4</t>
  </si>
  <si>
    <t>136,35*1*1,45;hnědá ZÚ-L9;</t>
  </si>
  <si>
    <t>5,5*1*1,45;fialová ZÚ-mezi L1 a L2;</t>
  </si>
  <si>
    <t>39,1*1*1,45;fialová L15-KÚ;</t>
  </si>
  <si>
    <t>šířka výkopu 1m</t>
  </si>
  <si>
    <t>18,95*1,35*1,45;hnědá + fialová L9-L12 (hnědá);</t>
  </si>
  <si>
    <t>70,8*1,35*1,45;modrá+fialová+hnědá od ZÚ modrá do I. Etapa;</t>
  </si>
  <si>
    <t>šířka výkopu 1,35m</t>
  </si>
  <si>
    <t>145,2*1,73*1,45;modrá+fialová+hnědá od ZÚ modrá do KÚ;</t>
  </si>
  <si>
    <t>šířka výkopu 1,73m</t>
  </si>
  <si>
    <t>14</t>
  </si>
  <si>
    <t>132301219R00</t>
  </si>
  <si>
    <t>Přípl.za lepivost,hloubení rýh 200cm,hor.4,STROJNĚ</t>
  </si>
  <si>
    <t>802,29733/100*20;příplatek 20%;</t>
  </si>
  <si>
    <t>15</t>
  </si>
  <si>
    <t>132303323R00</t>
  </si>
  <si>
    <t>Hloubení rýh pro drény, hloubky do 2,0 m, v hor.4</t>
  </si>
  <si>
    <t>261,20;hnědá ZÚ-L9;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</si>
  <si>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</si>
  <si>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</si>
  <si>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</si>
  <si>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</si>
  <si>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16</t>
  </si>
  <si>
    <t>139600013RA0</t>
  </si>
  <si>
    <t>Ruční výkop v hornině 4</t>
  </si>
  <si>
    <t>126*1*1,45;hnědá ZÚ-L9;</t>
  </si>
  <si>
    <t>27,7*1*1,45;fialová ZÚ-mezi L1 a L2;</t>
  </si>
  <si>
    <t>34,7*1*1,45;fialová L15-KÚ;</t>
  </si>
  <si>
    <t>22,7*1,35*1,45;hnědá + fialová L9-L12 (hnědá);</t>
  </si>
  <si>
    <t>259,2*1,35*1,45;modrá+fialová+hnědá od ZÚ modrá I. Etapa;</t>
  </si>
  <si>
    <t>97,7*1,73*1,45;modrá+fialová+hnědá od ZÚ modrá do KÚ;</t>
  </si>
  <si>
    <t>;viz výkresy výkopových prací - 1, 2, 3, 4;</t>
  </si>
  <si>
    <t>17</t>
  </si>
  <si>
    <t>111001100VD</t>
  </si>
  <si>
    <t>Kopaná sonda pro ověření velikosti patek sloupů trakčního vedení</t>
  </si>
  <si>
    <t>3;sondy;</t>
  </si>
  <si>
    <t>Roubení</t>
  </si>
  <si>
    <t>18</t>
  </si>
  <si>
    <t>151811512R00</t>
  </si>
  <si>
    <t>Montáž lehkého pažicího boxu dl.3m, š.3m, hl.1,95m</t>
  </si>
  <si>
    <t>15_</t>
  </si>
  <si>
    <t>19</t>
  </si>
  <si>
    <t>151813512R00</t>
  </si>
  <si>
    <t>Dmtž lehkého pažicího boxu dl.3m, š.3m, hl.1,95m</t>
  </si>
  <si>
    <t>20</t>
  </si>
  <si>
    <t>151812512R00</t>
  </si>
  <si>
    <t>Pronájem lehkého pažic.boxu dl.3m, š.3m, hl.1,95m</t>
  </si>
  <si>
    <t>den</t>
  </si>
  <si>
    <t>151101101R00</t>
  </si>
  <si>
    <t>Pažení a rozepření stěn rýh - příložné - hl.do 2 m</t>
  </si>
  <si>
    <t>261,20*1,45*2;hnědá ZÚ-L9;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</si>
  <si>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</si>
  <si>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</si>
  <si>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</si>
  <si>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</si>
  <si>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22</t>
  </si>
  <si>
    <t>151101111R00</t>
  </si>
  <si>
    <t>Odstranění pažení stěn rýh - příložné - hl. do 2 m</t>
  </si>
  <si>
    <t>2848,032;viz pažení;</t>
  </si>
  <si>
    <t>Přemístění výkopku</t>
  </si>
  <si>
    <t>23</t>
  </si>
  <si>
    <t>161101102R00</t>
  </si>
  <si>
    <t>Svislé přemístění výkopku z hor.1-4 do 4,0 m - jáma</t>
  </si>
  <si>
    <t>16_</t>
  </si>
  <si>
    <t>16,65;viz hloubení zapaž. jam;</t>
  </si>
  <si>
    <t>24</t>
  </si>
  <si>
    <t>161101101R00</t>
  </si>
  <si>
    <t>Svislé přemístění výkopku z hor.1-4 do 2,5 m - rýha</t>
  </si>
  <si>
    <t>802,29733+1070,0797;viz rýha;</t>
  </si>
  <si>
    <t>88,3872;lože trativodu;</t>
  </si>
  <si>
    <t>25</t>
  </si>
  <si>
    <t>167101102R00</t>
  </si>
  <si>
    <t>Nakládání výkopku z hor. 1 ÷ 4 v množství nad 100 m3 - odvoz na mezideponii</t>
  </si>
  <si>
    <t>14,89275;pro zásyp jámy;</t>
  </si>
  <si>
    <t>997,63913;pro zásyp rýhy;</t>
  </si>
  <si>
    <t>26</t>
  </si>
  <si>
    <t>162301101R00</t>
  </si>
  <si>
    <t>Vodorovné přemístění výkopku z hor.1-4 do 500 m - na mezideponii</t>
  </si>
  <si>
    <t>1012,53188;viz nakládání;</t>
  </si>
  <si>
    <t>27</t>
  </si>
  <si>
    <t>Nakládání výkopku z hor. 1 ÷ 4 v množství nad 100 m3 - odvoz z mezideponie</t>
  </si>
  <si>
    <t>14,89285;pro zásyp jámy;</t>
  </si>
  <si>
    <t>28</t>
  </si>
  <si>
    <t>Vodorovné přemístění výkopku z hor.1-4 do 500 m - z mezideponie</t>
  </si>
  <si>
    <t>1012,53198</t>
  </si>
  <si>
    <t>29</t>
  </si>
  <si>
    <t>Nakládání výkopku z hor. 1 ÷ 4 v množství nad 100 m3 - odvoz na skládku</t>
  </si>
  <si>
    <t>16,65+1960,76423;viz svislé přemístění;</t>
  </si>
  <si>
    <t>-14,89275;viz zásyp šachty;</t>
  </si>
  <si>
    <t>-997,63913;viz zásyp rýhy;</t>
  </si>
  <si>
    <t>30</t>
  </si>
  <si>
    <t>162301102R00</t>
  </si>
  <si>
    <t>Vodorovné přemístění výkopku z hor.1-4 do 1000 m</t>
  </si>
  <si>
    <t>964,88235;viz nakládání na skládku;</t>
  </si>
  <si>
    <t>31</t>
  </si>
  <si>
    <t>162701109R00</t>
  </si>
  <si>
    <t>Příplatek k vod. přemístění hor.1-4 za další 1 km</t>
  </si>
  <si>
    <t>964,88235*19;odvoz celkem do 20km;</t>
  </si>
  <si>
    <t>Konstrukce ze zemin</t>
  </si>
  <si>
    <t>32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</si>
  <si>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</si>
  <si>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</si>
  <si>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</si>
  <si>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</si>
  <si>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</si>
  <si>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</si>
  <si>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</si>
  <si>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33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</si>
  <si>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</si>
  <si>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</si>
  <si>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</si>
  <si>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</si>
  <si>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</si>
  <si>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</si>
  <si>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</si>
  <si>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</si>
  <si>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</si>
  <si>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</si>
  <si>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</si>
  <si>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modrá+fialová+hnědá od L9 do KÚ, odpočet 5m</t>
  </si>
  <si>
    <t>-3,14*0,174*0,174/4*573,18</t>
  </si>
  <si>
    <t>-3,14*0,14*0,14/4*573,18</t>
  </si>
  <si>
    <t>-3,14*0,306*0,306/4*573,18</t>
  </si>
  <si>
    <t>;odpočet potrubí;</t>
  </si>
  <si>
    <t>34</t>
  </si>
  <si>
    <t>Zásyp rýh se zhutněním</t>
  </si>
  <si>
    <t>1960,76423;viz hloubení rýh;</t>
  </si>
  <si>
    <t>-212,26709;viz lože;</t>
  </si>
  <si>
    <t>-750,85801;viz obsyp;</t>
  </si>
  <si>
    <t>35</t>
  </si>
  <si>
    <t>171201201R00</t>
  </si>
  <si>
    <t>Uložení sypaniny na mezideponii</t>
  </si>
  <si>
    <t>964,88235;viz nakládání;</t>
  </si>
  <si>
    <t>36</t>
  </si>
  <si>
    <t>Uložení sypaniny na skl.-sypanina na výšku přes 2m</t>
  </si>
  <si>
    <t>37</t>
  </si>
  <si>
    <t>199000002R00</t>
  </si>
  <si>
    <t>Poplatek za skládku horniny 1- 4, č. dle katal. odpadů 17 05 04</t>
  </si>
  <si>
    <t>964,88235;viz uložení;</t>
  </si>
  <si>
    <t>Povrchové úpravy terénu</t>
  </si>
  <si>
    <t>38</t>
  </si>
  <si>
    <t>184401111R00</t>
  </si>
  <si>
    <t>Přesazení stromku v rovině</t>
  </si>
  <si>
    <t>18_</t>
  </si>
  <si>
    <t>1;u L8;</t>
  </si>
  <si>
    <t>1;mezi L15-L16;</t>
  </si>
  <si>
    <t>39</t>
  </si>
  <si>
    <t>184111100VD</t>
  </si>
  <si>
    <t>Ošetření a ochrana stromů</t>
  </si>
  <si>
    <t>41;stromů;</t>
  </si>
  <si>
    <t>Při hloubení výkopů v blízkosti dřevin, které mají být zachovány,</t>
  </si>
  <si>
    <t>se musí zachovávat určité zásady: výkop se nesmí při tom vést blíže než 2,5m od paty kmene.</t>
  </si>
  <si>
    <t>Při hloubení nesmí být přerušeny  kořeny o průměru větším než 3cm.</t>
  </si>
  <si>
    <t>Případná poranění je nutno ošetřit. Kořeny je možno přerušit pouze řezem</t>
  </si>
  <si>
    <t>a řezná místa zahladit. Konce kořenů o průměru menším než 2cm je nutno ošetři</t>
  </si>
  <si>
    <t>růstovými stimulátory, kořeny o průměru větším než 2 cm je nutno ošetřit přípravky k ošetření ran.</t>
  </si>
  <si>
    <t>Kořeny je nutno chránit před vysycháním a před účinky mrazu. Ochrana:</t>
  </si>
  <si>
    <t>Vysychání nejvíce urychluje slunce, vítr a mráz. Kořeny je nutno přikrýt zeminou a zalít.</t>
  </si>
  <si>
    <t>Pokud to není možné, musí se kořeny překrýt textilií, udržující vlhkost a zabraňující působení slunce a mrazu.</t>
  </si>
  <si>
    <t>Kořeny musí být udržovány vlhké. Kořeny v jámách, rýhách, nebo prokopávkách omotáme textilií,</t>
  </si>
  <si>
    <t>zvlhčíme ji a pak obalíme materiálem, který brání výparu.Lepší ochranou je bandáž z jílové kaše,</t>
  </si>
  <si>
    <t>juty a materiálu bránícímu výparu. Kořeny v úzkých rýhách chráníme zakrytím celé rýhy.</t>
  </si>
  <si>
    <t>Zrnitost zásypových materiálů a míra jejich zhutnění musí zabezpečovat</t>
  </si>
  <si>
    <t>trvalé provzdušňování nutné pro regeneraci poškozených kořenů.</t>
  </si>
  <si>
    <t>V závislosti na ztrátě kořenů může nastat potřeba ukotvit dřevinu, provést vyrovnávací řez  v koruně,</t>
  </si>
  <si>
    <t>nebo provést oba zásahy současně. Při nepevné půdě a u hlubokých hloubených výkopů</t>
  </si>
  <si>
    <t>je nutné zajistit strom proti sesuvu vhodným technickým opatřením např. začepováním.</t>
  </si>
  <si>
    <t>Úprava podloží a základové spáry</t>
  </si>
  <si>
    <t>40</t>
  </si>
  <si>
    <t>212572111R00</t>
  </si>
  <si>
    <t>Lože trativodu ze štěrkopísku tříděného</t>
  </si>
  <si>
    <t>21_</t>
  </si>
  <si>
    <t>2_</t>
  </si>
  <si>
    <t>982,08*0,3*0,3</t>
  </si>
  <si>
    <t>Základy</t>
  </si>
  <si>
    <t>41</t>
  </si>
  <si>
    <t>273313611R00</t>
  </si>
  <si>
    <t>Beton základových desek prostý C 16/20</t>
  </si>
  <si>
    <t>27_</t>
  </si>
  <si>
    <t>1,5*1,5*0,05;podkladní beton;</t>
  </si>
  <si>
    <t>42</t>
  </si>
  <si>
    <t>273351215R00</t>
  </si>
  <si>
    <t>Bednění stěn základových desek - zřízení</t>
  </si>
  <si>
    <t>1,5*4*0,05;podkladní deska;</t>
  </si>
  <si>
    <t>43</t>
  </si>
  <si>
    <t>273351216R00</t>
  </si>
  <si>
    <t>Bednění stěn základových desek - odstranění</t>
  </si>
  <si>
    <t>0,3;viz zřízení;</t>
  </si>
  <si>
    <t>343</t>
  </si>
  <si>
    <t>Průchodka</t>
  </si>
  <si>
    <t>44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</si>
  <si>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</si>
  <si>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</si>
  <si>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</si>
  <si>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</si>
  <si>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</si>
  <si>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</si>
  <si>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</si>
  <si>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</si>
  <si>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</si>
  <si>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451572111R00</t>
  </si>
  <si>
    <t>Lože pod potrubí z kameniva těženého 0 - 4 mm</t>
  </si>
  <si>
    <t>45_</t>
  </si>
  <si>
    <t>4_</t>
  </si>
  <si>
    <t>261,20*1*0,15;hnědá ZÚ-L9;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</si>
  <si>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</si>
  <si>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</si>
  <si>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</si>
  <si>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</si>
  <si>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46</t>
  </si>
  <si>
    <t>460300006R00</t>
  </si>
  <si>
    <t>Hutnění lože</t>
  </si>
  <si>
    <t>212,26709;viz lože;</t>
  </si>
  <si>
    <t>56</t>
  </si>
  <si>
    <t>Podkladní vrstvy komunikací, letišť a ploch</t>
  </si>
  <si>
    <t>47</t>
  </si>
  <si>
    <t>564861111R00</t>
  </si>
  <si>
    <t>Podklad ze štěrkodrti po zhutnění tloušťky 20 cm</t>
  </si>
  <si>
    <t>56_</t>
  </si>
  <si>
    <t>5_</t>
  </si>
  <si>
    <t>507,2;viz odstranění asf kom;</t>
  </si>
  <si>
    <t>48</t>
  </si>
  <si>
    <t>564851111R00</t>
  </si>
  <si>
    <t>Podklad ze štěrkodrti po zhutnění tloušťky 15 cm - komunikace</t>
  </si>
  <si>
    <t>49</t>
  </si>
  <si>
    <t>565131111R00</t>
  </si>
  <si>
    <t>Podklad z obal kamen. ACP 16+, š. do 3 m, tl. 5 cm</t>
  </si>
  <si>
    <t>50</t>
  </si>
  <si>
    <t>Podklad ze štěrkodrti po zhutnění tloušťky 15 cm - zámková dlažba</t>
  </si>
  <si>
    <t>213,8;viz odstranění;</t>
  </si>
  <si>
    <t>57</t>
  </si>
  <si>
    <t>Kryty pozemních komunikací, letišť a ploch z kameniva nebo živičné</t>
  </si>
  <si>
    <t>51</t>
  </si>
  <si>
    <t>573111121R00</t>
  </si>
  <si>
    <t>Postřik infiltrační, množství zbytkového asfaltového pojiva 0,60 kg/m2</t>
  </si>
  <si>
    <t>57_</t>
  </si>
  <si>
    <t>52</t>
  </si>
  <si>
    <t>573231143R00</t>
  </si>
  <si>
    <t>Postřik spojovací z KAE modifikované, množství zbytkového asfaltu 0,3 kg/m2</t>
  </si>
  <si>
    <t>53</t>
  </si>
  <si>
    <t>577132111R00</t>
  </si>
  <si>
    <t>Beton asfalt. ACO 11+ obrusný, š.nad 3 m, tl. 4 cm</t>
  </si>
  <si>
    <t>54</t>
  </si>
  <si>
    <t>578100010RA0</t>
  </si>
  <si>
    <t>Chodník z litého asfaltu</t>
  </si>
  <si>
    <t>132,8;viz odstranění;</t>
  </si>
  <si>
    <t>59</t>
  </si>
  <si>
    <t>Kryty pozemních komunikací, letišť a ploch dlážděných (předlažby)</t>
  </si>
  <si>
    <t>55</t>
  </si>
  <si>
    <t>596215021R00</t>
  </si>
  <si>
    <t>Kladení zámkové dlažby tl. 6 cm do drtě tl. 4 cm</t>
  </si>
  <si>
    <t>59_</t>
  </si>
  <si>
    <t>213,8;viz rozebrání;</t>
  </si>
  <si>
    <t>722</t>
  </si>
  <si>
    <t>Vnitřní vodovod</t>
  </si>
  <si>
    <t>722174240R00</t>
  </si>
  <si>
    <t>Montáž plastového vodovodního potrubí, D 200mm</t>
  </si>
  <si>
    <t>722_</t>
  </si>
  <si>
    <t>72_</t>
  </si>
  <si>
    <t>21,11;hnědá;</t>
  </si>
  <si>
    <t>13,5;izometrie;</t>
  </si>
  <si>
    <t>286231161VD</t>
  </si>
  <si>
    <t>Trubka HDPE SDR17 PN10 200x11,9mm bez izolace</t>
  </si>
  <si>
    <t>34,61*1,05;prořez;</t>
  </si>
  <si>
    <t>dodávka včetně příslušenství</t>
  </si>
  <si>
    <t>58</t>
  </si>
  <si>
    <t>286110012VD</t>
  </si>
  <si>
    <t>Kluzné objímky DISA-RASI</t>
  </si>
  <si>
    <t>1;hnědá;</t>
  </si>
  <si>
    <t>899912113R00</t>
  </si>
  <si>
    <t>Ocelové objímky z pás. oceli, DN 200</t>
  </si>
  <si>
    <t>7;izometrie;</t>
  </si>
  <si>
    <t>85</t>
  </si>
  <si>
    <t>Tvarovky</t>
  </si>
  <si>
    <t>60</t>
  </si>
  <si>
    <t>857601101R00</t>
  </si>
  <si>
    <t>Montáž tvarovek DN 80</t>
  </si>
  <si>
    <t>85_</t>
  </si>
  <si>
    <t>8_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</si>
  <si>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</si>
  <si>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</si>
  <si>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</si>
  <si>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</si>
  <si>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</si>
  <si>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2;FF KUS 8500 L=dle měření DN50 PN16 HAWLE;</t>
  </si>
  <si>
    <t>61</t>
  </si>
  <si>
    <t>286231147VD</t>
  </si>
  <si>
    <t>Lemový nákružek A WAVIN SDR11 PE100 D63 PN10/16</t>
  </si>
  <si>
    <t>3;modrá;</t>
  </si>
  <si>
    <t>4;hnědá;</t>
  </si>
  <si>
    <t>3;fialová;</t>
  </si>
  <si>
    <t>62</t>
  </si>
  <si>
    <t>286231148VD</t>
  </si>
  <si>
    <t>Příruba PP-OCEL WAVIN D63 PN16</t>
  </si>
  <si>
    <t>63</t>
  </si>
  <si>
    <t>286231149VD</t>
  </si>
  <si>
    <t>PP 90st. 5049 DN50 PN16 HAWLE</t>
  </si>
  <si>
    <t>64</t>
  </si>
  <si>
    <t>286221227VD</t>
  </si>
  <si>
    <t>Poklop hydrantový 1950 podzemní KASI</t>
  </si>
  <si>
    <t>65</t>
  </si>
  <si>
    <t>286231150VD</t>
  </si>
  <si>
    <t>D810 DN50 2m PN16 HAWLE</t>
  </si>
  <si>
    <t>66</t>
  </si>
  <si>
    <t>286231153VD</t>
  </si>
  <si>
    <t>FF KUS 8500 L=dle měření DN50 PN16 HAWLE</t>
  </si>
  <si>
    <t>2;VŠ;</t>
  </si>
  <si>
    <t>67</t>
  </si>
  <si>
    <t>857601102RT1</t>
  </si>
  <si>
    <t>Montáž tvarovek DN 100</t>
  </si>
  <si>
    <t>3;Redukce WAVIN SDR17 PE100 D90/63 PN5/10;</t>
  </si>
  <si>
    <t>2;FFR KUS 8550 DN100/50 PN16 HAWLE;</t>
  </si>
  <si>
    <t>1;PŘ. ISO 5500 DN100/D110 PN16 HAWLE;</t>
  </si>
  <si>
    <t>1;T KUS 8510 DN100/100 PN16 HAWLE;</t>
  </si>
  <si>
    <t>1;T KUS 8510 DN100/80 PN16 HAWLE;</t>
  </si>
  <si>
    <t>68</t>
  </si>
  <si>
    <t>286231151VD</t>
  </si>
  <si>
    <t>Redukce WAVIN SDR17 PE100 D90/63 PN5/10</t>
  </si>
  <si>
    <t>69</t>
  </si>
  <si>
    <t>286231154VD</t>
  </si>
  <si>
    <t>FFR KUS 8550 DN100/50 PN16 HAWLE</t>
  </si>
  <si>
    <t>70</t>
  </si>
  <si>
    <t>286231155VD</t>
  </si>
  <si>
    <t>PŘ. ISO 5500 DN100/D110 PN16 HAWLE</t>
  </si>
  <si>
    <t>1;VŠ;</t>
  </si>
  <si>
    <t>71</t>
  </si>
  <si>
    <t>286231156VD</t>
  </si>
  <si>
    <t>T KUS 8510 DN100/100 PN16 HAWLE</t>
  </si>
  <si>
    <t>72</t>
  </si>
  <si>
    <t>286231157VD</t>
  </si>
  <si>
    <t>T KUS 8510 DN100/80 PN16 HAWLE</t>
  </si>
  <si>
    <t>73</t>
  </si>
  <si>
    <t>857601104R00</t>
  </si>
  <si>
    <t>Montáž tvarovek DN 150</t>
  </si>
  <si>
    <t>3;T KUS redur. 90st. WAVIN SDR17 PE100 D140/90 PN5/10;</t>
  </si>
  <si>
    <t>74</t>
  </si>
  <si>
    <t>286231152VD</t>
  </si>
  <si>
    <t>T KUS redur. 90st. WAVIN SDR17 PE100 D140/90 PN5/10</t>
  </si>
  <si>
    <t>87</t>
  </si>
  <si>
    <t>Potrubí z trub plastických, skleněných a čedičových</t>
  </si>
  <si>
    <t>75</t>
  </si>
  <si>
    <t>871812111R00</t>
  </si>
  <si>
    <t>Příplatek za zaměření GPS během pokládky</t>
  </si>
  <si>
    <t>87_</t>
  </si>
  <si>
    <t>76</t>
  </si>
  <si>
    <t>871311121R00</t>
  </si>
  <si>
    <t>Montáž trubek polyetylenových ve výkopu d 160 mm</t>
  </si>
  <si>
    <t>648,63+72,95;fialová;</t>
  </si>
  <si>
    <t>77</t>
  </si>
  <si>
    <t>286134635</t>
  </si>
  <si>
    <t>Trubka vodovodní PE RC Protect SDR 17  140x8,3 mm</t>
  </si>
  <si>
    <t>721,58*1,05;prořez;</t>
  </si>
  <si>
    <t>78</t>
  </si>
  <si>
    <t>871251121R00</t>
  </si>
  <si>
    <t>Montáž trubek polyetylenových ve výkopu d 110 mm</t>
  </si>
  <si>
    <t>573,18;modrá;</t>
  </si>
  <si>
    <t>79</t>
  </si>
  <si>
    <t>285110012VD</t>
  </si>
  <si>
    <t>Předizol. trubka HDPE SDR17 PN10 d=110x6,6mm tl. izol. 32mm</t>
  </si>
  <si>
    <t>573,18*1,05;prořez;</t>
  </si>
  <si>
    <t>80</t>
  </si>
  <si>
    <t>871371121R00</t>
  </si>
  <si>
    <t>Montáž trubek polyetylenových ve výkopu d 315 mm</t>
  </si>
  <si>
    <t>874,7;hnědá;</t>
  </si>
  <si>
    <t>81</t>
  </si>
  <si>
    <t>285110011VD</t>
  </si>
  <si>
    <t>Předizol. trubka HDPE SDR17 PN10 d=200x11,9mm tl. izol. 53mm</t>
  </si>
  <si>
    <t>874,7*1,05;prořez;</t>
  </si>
  <si>
    <t>82</t>
  </si>
  <si>
    <t>871812112R00</t>
  </si>
  <si>
    <t>Příplatek za položení signalizačního vodiče a datového kabelu</t>
  </si>
  <si>
    <t>982,08;vodič;</t>
  </si>
  <si>
    <t>celková délka výkopu pro všechny šířky</t>
  </si>
  <si>
    <t>83</t>
  </si>
  <si>
    <t>34111012</t>
  </si>
  <si>
    <t>Kabel Cu signalizační</t>
  </si>
  <si>
    <t>982,08*1,05;ztratné;</t>
  </si>
  <si>
    <t>84</t>
  </si>
  <si>
    <t>34111110VD</t>
  </si>
  <si>
    <t>PAAR-LiYCY 2x2x0,75 kabel datový</t>
  </si>
  <si>
    <t>899711122R00</t>
  </si>
  <si>
    <t>Fólie výstražná z PVC</t>
  </si>
  <si>
    <t>261,2+33+72,95;šířka výkopu 1m;</t>
  </si>
  <si>
    <t>41,75*2;šířka výkopu 1,35m;</t>
  </si>
  <si>
    <t>573,18*3;šířka výkopu 1,73m;</t>
  </si>
  <si>
    <t>2170,19*0,05;ztratné;</t>
  </si>
  <si>
    <t>86</t>
  </si>
  <si>
    <t>871221100VD</t>
  </si>
  <si>
    <t>Chránička pro DN250</t>
  </si>
  <si>
    <t>5;hnědá včetně osazení a přípravy;</t>
  </si>
  <si>
    <t>88</t>
  </si>
  <si>
    <t>Potrubí z drenážek</t>
  </si>
  <si>
    <t>881267211R00</t>
  </si>
  <si>
    <t>Potrubí z drenážních trubek, přeložení DN 100</t>
  </si>
  <si>
    <t>88_</t>
  </si>
  <si>
    <t>982,08;celková délka výkopu pro všechny šířky;</t>
  </si>
  <si>
    <t>28611233</t>
  </si>
  <si>
    <t>Trubka PVC-U drenážní flexibilní d 100 mm</t>
  </si>
  <si>
    <t>89</t>
  </si>
  <si>
    <t>Ostatní konstrukce a práce na trubním vedení</t>
  </si>
  <si>
    <t>892271111R00</t>
  </si>
  <si>
    <t>Tlaková zkouška vodovodního potrubí DN 125</t>
  </si>
  <si>
    <t>89_</t>
  </si>
  <si>
    <t>90</t>
  </si>
  <si>
    <t>892351111R00</t>
  </si>
  <si>
    <t>Tlaková zkouška vodovodního potrubí DN 200</t>
  </si>
  <si>
    <t>721,58;fialová;</t>
  </si>
  <si>
    <t>34,61;bez izolace + izometrie;</t>
  </si>
  <si>
    <t>91</t>
  </si>
  <si>
    <t>891261111R00</t>
  </si>
  <si>
    <t>Montáž vodovodních šoupátek DN 100</t>
  </si>
  <si>
    <t>2;Š 3600 Deskové DN100 PN10 HAWLE;</t>
  </si>
  <si>
    <t>92</t>
  </si>
  <si>
    <t>286231158VD</t>
  </si>
  <si>
    <t>Š 3600 Deskové DN100 PN10 HAWLE</t>
  </si>
  <si>
    <t>93</t>
  </si>
  <si>
    <t>891241111R00</t>
  </si>
  <si>
    <t>Montáž vodovodních šoupátek DN 80</t>
  </si>
  <si>
    <t>1;Š 3600 Deskové DN80 PN10 HAWLE;</t>
  </si>
  <si>
    <t>94</t>
  </si>
  <si>
    <t>286231159VD</t>
  </si>
  <si>
    <t>Š 3600 Deskové DN80 PN10 HAWLE</t>
  </si>
  <si>
    <t>95</t>
  </si>
  <si>
    <t>891265321R00</t>
  </si>
  <si>
    <t>Montáž zpětných klapek DN 100</t>
  </si>
  <si>
    <t>1;Zpětná klapka 9831 DN100 HAWLE;</t>
  </si>
  <si>
    <t>96</t>
  </si>
  <si>
    <t>286231160VD</t>
  </si>
  <si>
    <t>Zpětná klapka 9831 DN100 HAWLE</t>
  </si>
  <si>
    <t>891</t>
  </si>
  <si>
    <t>Napojení na stávající potrubí</t>
  </si>
  <si>
    <t>97</t>
  </si>
  <si>
    <t>891001101VD</t>
  </si>
  <si>
    <t>891_</t>
  </si>
  <si>
    <t>3;napojení na stávající potrubí;</t>
  </si>
  <si>
    <t>894</t>
  </si>
  <si>
    <t>šachty kanalizační</t>
  </si>
  <si>
    <t>98</t>
  </si>
  <si>
    <t>894410003VD</t>
  </si>
  <si>
    <t>Šachta z bet. dílců vč. poklopu</t>
  </si>
  <si>
    <t>RTS I / 2019</t>
  </si>
  <si>
    <t>894_</t>
  </si>
  <si>
    <t>1;fialová;</t>
  </si>
  <si>
    <t>Doplňující konstrukce a práce na pozemních komunikacích a zpevněných plochách</t>
  </si>
  <si>
    <t>99</t>
  </si>
  <si>
    <t>919735113R00</t>
  </si>
  <si>
    <t>Řezání stávajícího živičného krytu tl. 10 - 15 cm</t>
  </si>
  <si>
    <t>91_</t>
  </si>
  <si>
    <t>9_</t>
  </si>
  <si>
    <t>6*2;fialová ZÚ-L8;</t>
  </si>
  <si>
    <t>0;šířka výkopu 1,35m;</t>
  </si>
  <si>
    <t>(6+8+15+220+40)*2</t>
  </si>
  <si>
    <t>modrá+fialová+hnědá od L8 do KÚ</t>
  </si>
  <si>
    <t>100</t>
  </si>
  <si>
    <t>919731121R00</t>
  </si>
  <si>
    <t>Zarovnání styčné plochy živičné tl. do 5 cm</t>
  </si>
  <si>
    <t>590;viz řezání;</t>
  </si>
  <si>
    <t>Prorážení otvorů a ostatní bourací práce</t>
  </si>
  <si>
    <t>101</t>
  </si>
  <si>
    <t>979071121R00</t>
  </si>
  <si>
    <t>Očištění vybour. kostek drobných s výplní kam. těž</t>
  </si>
  <si>
    <t>97_</t>
  </si>
  <si>
    <t>H22</t>
  </si>
  <si>
    <t>Komunikace pozemní a letiště</t>
  </si>
  <si>
    <t>102</t>
  </si>
  <si>
    <t>998225111R00</t>
  </si>
  <si>
    <t>Přesun hmot, pozemní komunikace, kryt živičný</t>
  </si>
  <si>
    <t>t</t>
  </si>
  <si>
    <t>H22_</t>
  </si>
  <si>
    <t>607,00221</t>
  </si>
  <si>
    <t>103</t>
  </si>
  <si>
    <t>998223011R00</t>
  </si>
  <si>
    <t>Přesun hmot, pozemní komunikace, kryt dlážděný</t>
  </si>
  <si>
    <t>96,61622</t>
  </si>
  <si>
    <t>H27</t>
  </si>
  <si>
    <t>Vedení trubní dálková a přípojná</t>
  </si>
  <si>
    <t>104</t>
  </si>
  <si>
    <t>998276101R00</t>
  </si>
  <si>
    <t>Přesun hmot, trubní vedení plastová, otevř. výkop</t>
  </si>
  <si>
    <t>H27_</t>
  </si>
  <si>
    <t>2233,67766</t>
  </si>
  <si>
    <t>M46</t>
  </si>
  <si>
    <t>Zemní práce při montážích</t>
  </si>
  <si>
    <t>105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</si>
  <si>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</si>
  <si>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</si>
  <si>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</si>
  <si>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</si>
  <si>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</si>
  <si>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</si>
  <si>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106</t>
  </si>
  <si>
    <t>979087213R00</t>
  </si>
  <si>
    <t>Nakládání vybour.hmot na dop.prostředky-komunikace</t>
  </si>
  <si>
    <t>S_</t>
  </si>
  <si>
    <t>500,56267</t>
  </si>
  <si>
    <t>107</t>
  </si>
  <si>
    <t>979081111R00</t>
  </si>
  <si>
    <t>Odvoz suti a vybour. hmot na skládku do 1 km</t>
  </si>
  <si>
    <t>108</t>
  </si>
  <si>
    <t>979081121R00</t>
  </si>
  <si>
    <t>Příplatek k odvozu za každý další 1 km</t>
  </si>
  <si>
    <t>500,56267*19;odvoz celkem do 20km;</t>
  </si>
  <si>
    <t>109</t>
  </si>
  <si>
    <t>979094111R00</t>
  </si>
  <si>
    <t>Nakládání nebo překládání vybouraných hmot - dlažba pro zpětnou pokládku</t>
  </si>
  <si>
    <t>48,105*2;2x nakládání pro uložení a zpětný odvoz;</t>
  </si>
  <si>
    <t>110</t>
  </si>
  <si>
    <t>979084212R00</t>
  </si>
  <si>
    <t xml:space="preserve">Vodorovná doprava vybour. hmot po suchu do 50 m - dlažba pro zpětnou pokládku	</t>
  </si>
  <si>
    <t>48,105*2;2x doprava pro uložení a zpětný odvoz;</t>
  </si>
  <si>
    <t>111</t>
  </si>
  <si>
    <t>979999995R00</t>
  </si>
  <si>
    <t>Poplatek za recyklaci asfaltu, kusovost do 1600 cm2, (skup.170302)</t>
  </si>
  <si>
    <t>112</t>
  </si>
  <si>
    <t>979999998R00</t>
  </si>
  <si>
    <t>Poplatek za ukládku suť do 5 % příměsí (skup.170107)</t>
  </si>
  <si>
    <t>29,216</t>
  </si>
  <si>
    <t>012VD</t>
  </si>
  <si>
    <t>vrn</t>
  </si>
  <si>
    <t>113</t>
  </si>
  <si>
    <t>012111111VD</t>
  </si>
  <si>
    <t>Zařízení staveniště</t>
  </si>
  <si>
    <t>%</t>
  </si>
  <si>
    <t>012VD_</t>
  </si>
  <si>
    <t>114</t>
  </si>
  <si>
    <t>012111112VD</t>
  </si>
  <si>
    <t>Územní vlivy</t>
  </si>
  <si>
    <t>115</t>
  </si>
  <si>
    <t>012111113VD</t>
  </si>
  <si>
    <t>Provozní vlivy</t>
  </si>
  <si>
    <t>Celkem:</t>
  </si>
  <si>
    <t>Poznámka:</t>
  </si>
  <si>
    <t>modrá - čistá termální voda-ČS-ATS
hnědá - odpadní termální voda-ČS-ATS
fialová - odpadní voda-AQC-POTOK
VŠ - vodoměrná šachta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</si>
  <si>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</si>
  <si>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</si>
  <si>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</si>
  <si>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</si>
  <si>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</si>
  <si>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</si>
  <si>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</si>
  <si>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</si>
  <si>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</si>
  <si>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</si>
  <si>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</si>
  <si>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</si>
  <si>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</si>
  <si>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</si>
  <si>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</si>
  <si>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</si>
  <si>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</si>
  <si>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</si>
  <si>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</si>
  <si>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</si>
  <si>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</si>
  <si>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</si>
  <si>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</si>
  <si>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</si>
  <si>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</si>
  <si>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</si>
  <si>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</si>
  <si>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</si>
  <si>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</si>
  <si>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</si>
  <si>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</si>
  <si>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</si>
  <si>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</si>
  <si>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</si>
  <si>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</si>
  <si>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</si>
  <si>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</si>
  <si>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</si>
  <si>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</si>
  <si>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</si>
  <si>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</si>
  <si>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modrá - čistá termální voda-ČS-ATS
hnědá - odpadní termální voda-ČS-ATS
fialová - odpadní voda-AQC-POTOK
VŠ - vodoměrná šachta
</t>
  </si>
  <si>
    <t>Vedlejší a ostatní rozpočtové náklady</t>
  </si>
  <si>
    <t>Vedlejší rozpočtové náklady VRN</t>
  </si>
  <si>
    <t>Doplňkové náklady DN</t>
  </si>
  <si>
    <t>Kč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</si>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</sst>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fonts count="1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0" fontId="3" fillId="0" borderId="40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2" borderId="44" xfId="0" applyNumberFormat="1" applyFont="1" applyFill="1" applyBorder="1" applyAlignment="1" applyProtection="1">
      <alignment horizontal="center" vertical="center"/>
    </xf>
    <xf numFmtId="0" fontId="7" fillId="2" borderId="47" xfId="0" applyNumberFormat="1" applyFont="1" applyFill="1" applyBorder="1" applyAlignment="1" applyProtection="1">
      <alignment horizontal="center" vertical="center"/>
    </xf>
    <xf numFmtId="0" fontId="9" fillId="0" borderId="48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4" fontId="10" fillId="0" borderId="49" xfId="0" applyNumberFormat="1" applyFont="1" applyFill="1" applyBorder="1" applyAlignment="1" applyProtection="1">
      <alignment horizontal="right" vertical="center"/>
    </xf>
    <xf numFmtId="0" fontId="9" fillId="0" borderId="52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right" vertical="center"/>
    </xf>
    <xf numFmtId="4" fontId="10" fillId="0" borderId="56" xfId="0" applyNumberFormat="1" applyFont="1" applyFill="1" applyBorder="1" applyAlignment="1" applyProtection="1">
      <alignment horizontal="right" vertical="center"/>
    </xf>
    <xf numFmtId="0" fontId="10" fillId="0" borderId="56" xfId="0" applyNumberFormat="1" applyFont="1" applyFill="1" applyBorder="1" applyAlignment="1" applyProtection="1">
      <alignment horizontal="right" vertical="center"/>
    </xf>
    <xf numFmtId="4" fontId="10" fillId="0" borderId="47" xfId="0" applyNumberFormat="1" applyFont="1" applyFill="1" applyBorder="1" applyAlignment="1" applyProtection="1">
      <alignment horizontal="right" vertical="center"/>
    </xf>
    <xf numFmtId="4" fontId="10" fillId="0" borderId="30" xfId="0" applyNumberFormat="1" applyFont="1" applyFill="1" applyBorder="1" applyAlignment="1" applyProtection="1">
      <alignment horizontal="right" vertical="center"/>
    </xf>
    <xf numFmtId="4" fontId="9" fillId="2" borderId="46" xfId="0" applyNumberFormat="1" applyFont="1" applyFill="1" applyBorder="1" applyAlignment="1" applyProtection="1">
      <alignment horizontal="right" vertical="center"/>
    </xf>
    <xf numFmtId="4" fontId="9" fillId="2" borderId="51" xfId="0" applyNumberFormat="1" applyFont="1" applyFill="1" applyBorder="1" applyAlignment="1" applyProtection="1">
      <alignment horizontal="right" vertical="center"/>
    </xf>
    <xf numFmtId="0" fontId="5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49" xfId="0" applyNumberFormat="1" applyFont="1" applyFill="1" applyBorder="1" applyAlignment="1" applyProtection="1">
      <alignment horizontal="right" vertical="center"/>
    </xf>
    <xf numFmtId="0" fontId="3" fillId="0" borderId="49" xfId="0" applyNumberFormat="1" applyFont="1" applyFill="1" applyBorder="1" applyAlignment="1" applyProtection="1">
      <alignment horizontal="left" vertical="center"/>
    </xf>
    <xf numFmtId="4" fontId="3" fillId="0" borderId="75" xfId="0" applyNumberFormat="1" applyFont="1" applyFill="1" applyBorder="1" applyAlignment="1" applyProtection="1">
      <alignment horizontal="righ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right" vertical="center"/>
    </xf>
    <xf numFmtId="4" fontId="2" fillId="0" borderId="79" xfId="0" applyNumberFormat="1" applyFont="1" applyFill="1" applyBorder="1" applyAlignment="1" applyProtection="1">
      <alignment horizontal="right" vertical="center"/>
    </xf>
    <xf numFmtId="0" fontId="3" fillId="0" borderId="40" xfId="0" applyNumberFormat="1" applyFont="1" applyFill="1" applyBorder="1" applyAlignment="1" applyProtection="1">
      <alignment horizontal="left" vertical="center" wrapText="1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64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10" fillId="0" borderId="6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66" xfId="0" applyNumberFormat="1" applyFont="1" applyFill="1" applyBorder="1" applyAlignment="1" applyProtection="1">
      <alignment horizontal="left" vertical="center"/>
    </xf>
    <xf numFmtId="0" fontId="10" fillId="0" borderId="71" xfId="0" applyNumberFormat="1" applyFont="1" applyFill="1" applyBorder="1" applyAlignment="1" applyProtection="1">
      <alignment horizontal="left" vertical="center"/>
    </xf>
    <xf numFmtId="0" fontId="10" fillId="0" borderId="69" xfId="0" applyNumberFormat="1" applyFont="1" applyFill="1" applyBorder="1" applyAlignment="1" applyProtection="1">
      <alignment horizontal="left" vertical="center"/>
    </xf>
    <xf numFmtId="0" fontId="10" fillId="0" borderId="70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0" fontId="10" fillId="0" borderId="65" xfId="0" applyNumberFormat="1" applyFont="1" applyFill="1" applyBorder="1" applyAlignment="1" applyProtection="1">
      <alignment horizontal="left" vertical="center"/>
    </xf>
    <xf numFmtId="0" fontId="10" fillId="0" borderId="68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1" xfId="0" applyNumberFormat="1" applyFont="1" applyFill="1" applyBorder="1" applyAlignment="1" applyProtection="1">
      <alignment horizontal="left" vertical="center"/>
    </xf>
    <xf numFmtId="0" fontId="9" fillId="2" borderId="58" xfId="0" applyNumberFormat="1" applyFont="1" applyFill="1" applyBorder="1" applyAlignment="1" applyProtection="1">
      <alignment horizontal="left" vertical="center"/>
    </xf>
    <xf numFmtId="0" fontId="9" fillId="2" borderId="59" xfId="0" applyNumberFormat="1" applyFont="1" applyFill="1" applyBorder="1" applyAlignment="1" applyProtection="1">
      <alignment horizontal="left" vertical="center"/>
    </xf>
    <xf numFmtId="0" fontId="9" fillId="2" borderId="53" xfId="0" applyNumberFormat="1" applyFont="1" applyFill="1" applyBorder="1" applyAlignment="1" applyProtection="1">
      <alignment horizontal="left" vertical="center"/>
    </xf>
    <xf numFmtId="0" fontId="9" fillId="2" borderId="60" xfId="0" applyNumberFormat="1" applyFont="1" applyFill="1" applyBorder="1" applyAlignment="1" applyProtection="1">
      <alignment horizontal="left" vertical="center"/>
    </xf>
    <xf numFmtId="0" fontId="9" fillId="2" borderId="45" xfId="0" applyNumberFormat="1" applyFont="1" applyFill="1" applyBorder="1" applyAlignment="1" applyProtection="1">
      <alignment horizontal="left" vertical="center"/>
    </xf>
    <xf numFmtId="0" fontId="9" fillId="2" borderId="50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 applyProtection="1">
      <alignment horizontal="left" vertical="center"/>
    </xf>
    <xf numFmtId="0" fontId="10" fillId="0" borderId="51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55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9" fillId="0" borderId="46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6" fillId="0" borderId="43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6" xfId="0" applyNumberFormat="1" applyFont="1" applyFill="1" applyBorder="1" applyAlignment="1" applyProtection="1">
      <alignment horizontal="left" vertical="center"/>
    </xf>
    <xf numFmtId="0" fontId="2" fillId="0" borderId="77" xfId="0" applyNumberFormat="1" applyFont="1" applyFill="1" applyBorder="1" applyAlignment="1" applyProtection="1">
      <alignment horizontal="left" vertical="center"/>
    </xf>
    <xf numFmtId="0" fontId="2" fillId="0" borderId="78" xfId="0" applyNumberFormat="1" applyFont="1" applyFill="1" applyBorder="1" applyAlignment="1" applyProtection="1">
      <alignment horizontal="left" vertical="center"/>
    </xf>
    <xf numFmtId="0" fontId="9" fillId="0" borderId="76" xfId="0" applyNumberFormat="1" applyFont="1" applyFill="1" applyBorder="1" applyAlignment="1" applyProtection="1">
      <alignment horizontal="left" vertical="center"/>
    </xf>
    <xf numFmtId="0" fontId="9" fillId="0" borderId="77" xfId="0" applyNumberFormat="1" applyFont="1" applyFill="1" applyBorder="1" applyAlignment="1" applyProtection="1">
      <alignment horizontal="left" vertical="center"/>
    </xf>
    <xf numFmtId="0" fontId="9" fillId="0" borderId="78" xfId="0" applyNumberFormat="1" applyFont="1" applyFill="1" applyBorder="1" applyAlignment="1" applyProtection="1">
      <alignment horizontal="left" vertical="center"/>
    </xf>
    <xf numFmtId="4" fontId="9" fillId="0" borderId="80" xfId="0" applyNumberFormat="1" applyFont="1" applyFill="1" applyBorder="1" applyAlignment="1" applyProtection="1">
      <alignment horizontal="right" vertical="center"/>
    </xf>
    <xf numFmtId="0" fontId="9" fillId="0" borderId="77" xfId="0" applyNumberFormat="1" applyFont="1" applyFill="1" applyBorder="1" applyAlignment="1" applyProtection="1">
      <alignment horizontal="right" vertical="center"/>
    </xf>
    <xf numFmtId="0" fontId="9" fillId="0" borderId="78" xfId="0" applyNumberFormat="1" applyFont="1" applyFill="1" applyBorder="1" applyAlignment="1" applyProtection="1">
      <alignment horizontal="righ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73" xfId="0" applyNumberFormat="1" applyFont="1" applyFill="1" applyBorder="1" applyAlignment="1" applyProtection="1">
      <alignment horizontal="left" vertical="center"/>
    </xf>
    <xf numFmtId="0" fontId="3" fillId="0" borderId="74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395"/>
  <sheetViews>
    <sheetView tabSelected="1" workbookViewId="0">
      <pane ySplit="11" topLeftCell="A12" activePane="bottomLeft" state="frozen"/>
      <selection pane="bottomLeft" sqref="A1:P1"/>
    </sheetView>
  </sheetViews>
  <sheetFormatPr defaultColWidth="12.140625" defaultRowHeight="15" customHeight="1"/>
  <cols>
    <col min="1" max="1" width="4" customWidth="1"/>
    <col min="2" max="2" width="7.5703125" customWidth="1"/>
    <col min="3" max="3" width="17.85546875" customWidth="1"/>
    <col min="4" max="4" width="92.140625" customWidth="1"/>
    <col min="5" max="5" width="35.7109375" customWidth="1"/>
    <col min="6" max="6" width="5.855468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>
      <c r="A2" s="96" t="s">
        <v>1</v>
      </c>
      <c r="B2" s="88"/>
      <c r="C2" s="88"/>
      <c r="D2" s="100" t="s">
        <v>2</v>
      </c>
      <c r="E2" s="101"/>
      <c r="F2" s="88" t="s">
        <v>3</v>
      </c>
      <c r="G2" s="88"/>
      <c r="H2" s="88" t="s">
        <v>4</v>
      </c>
      <c r="I2" s="87" t="s">
        <v>5</v>
      </c>
      <c r="J2" s="87" t="s">
        <v>6</v>
      </c>
      <c r="K2" s="88"/>
      <c r="L2" s="88"/>
      <c r="M2" s="88"/>
      <c r="N2" s="88"/>
      <c r="O2" s="88"/>
      <c r="P2" s="89"/>
    </row>
    <row r="3" spans="1:76">
      <c r="A3" s="97"/>
      <c r="B3" s="75"/>
      <c r="C3" s="75"/>
      <c r="D3" s="102"/>
      <c r="E3" s="102"/>
      <c r="F3" s="75"/>
      <c r="G3" s="75"/>
      <c r="H3" s="75"/>
      <c r="I3" s="75"/>
      <c r="J3" s="75"/>
      <c r="K3" s="75"/>
      <c r="L3" s="75"/>
      <c r="M3" s="75"/>
      <c r="N3" s="75"/>
      <c r="O3" s="75"/>
      <c r="P3" s="90"/>
    </row>
    <row r="4" spans="1:76">
      <c r="A4" s="98" t="s">
        <v>7</v>
      </c>
      <c r="B4" s="75"/>
      <c r="C4" s="75"/>
      <c r="D4" s="74" t="s">
        <v>8</v>
      </c>
      <c r="E4" s="75"/>
      <c r="F4" s="75" t="s">
        <v>9</v>
      </c>
      <c r="G4" s="75"/>
      <c r="H4" s="75" t="s">
        <v>4</v>
      </c>
      <c r="I4" s="74" t="s">
        <v>10</v>
      </c>
      <c r="J4" s="74" t="s">
        <v>11</v>
      </c>
      <c r="K4" s="75"/>
      <c r="L4" s="75"/>
      <c r="M4" s="75"/>
      <c r="N4" s="75"/>
      <c r="O4" s="75"/>
      <c r="P4" s="90"/>
    </row>
    <row r="5" spans="1:76">
      <c r="A5" s="97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90"/>
    </row>
    <row r="6" spans="1:76">
      <c r="A6" s="98" t="s">
        <v>12</v>
      </c>
      <c r="B6" s="75"/>
      <c r="C6" s="75"/>
      <c r="D6" s="74" t="s">
        <v>13</v>
      </c>
      <c r="E6" s="75"/>
      <c r="F6" s="75" t="s">
        <v>14</v>
      </c>
      <c r="G6" s="75"/>
      <c r="H6" s="75" t="s">
        <v>4</v>
      </c>
      <c r="I6" s="74" t="s">
        <v>15</v>
      </c>
      <c r="J6" s="75" t="s">
        <v>16</v>
      </c>
      <c r="K6" s="75"/>
      <c r="L6" s="75"/>
      <c r="M6" s="75"/>
      <c r="N6" s="75"/>
      <c r="O6" s="75"/>
      <c r="P6" s="90"/>
    </row>
    <row r="7" spans="1:76">
      <c r="A7" s="97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90"/>
    </row>
    <row r="8" spans="1:76">
      <c r="A8" s="98" t="s">
        <v>17</v>
      </c>
      <c r="B8" s="75"/>
      <c r="C8" s="75"/>
      <c r="D8" s="74" t="s">
        <v>4</v>
      </c>
      <c r="E8" s="75"/>
      <c r="F8" s="75" t="s">
        <v>18</v>
      </c>
      <c r="G8" s="75"/>
      <c r="H8" s="75" t="s">
        <v>19</v>
      </c>
      <c r="I8" s="74" t="s">
        <v>20</v>
      </c>
      <c r="J8" s="74" t="s">
        <v>21</v>
      </c>
      <c r="K8" s="75"/>
      <c r="L8" s="75"/>
      <c r="M8" s="75"/>
      <c r="N8" s="75"/>
      <c r="O8" s="75"/>
      <c r="P8" s="90"/>
    </row>
    <row r="9" spans="1:76">
      <c r="A9" s="99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2"/>
    </row>
    <row r="10" spans="1:76">
      <c r="A10" s="5" t="s">
        <v>22</v>
      </c>
      <c r="B10" s="6" t="s">
        <v>23</v>
      </c>
      <c r="C10" s="6" t="s">
        <v>24</v>
      </c>
      <c r="D10" s="93" t="s">
        <v>25</v>
      </c>
      <c r="E10" s="94"/>
      <c r="F10" s="6" t="s">
        <v>26</v>
      </c>
      <c r="G10" s="7" t="s">
        <v>27</v>
      </c>
      <c r="H10" s="8" t="s">
        <v>28</v>
      </c>
      <c r="I10" s="9" t="s">
        <v>29</v>
      </c>
      <c r="J10" s="80" t="s">
        <v>30</v>
      </c>
      <c r="K10" s="81"/>
      <c r="L10" s="82"/>
      <c r="M10" s="10" t="s">
        <v>30</v>
      </c>
      <c r="N10" s="83" t="s">
        <v>31</v>
      </c>
      <c r="O10" s="84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>
      <c r="A11" s="14" t="s">
        <v>4</v>
      </c>
      <c r="B11" s="15" t="s">
        <v>4</v>
      </c>
      <c r="C11" s="15" t="s">
        <v>4</v>
      </c>
      <c r="D11" s="78" t="s">
        <v>36</v>
      </c>
      <c r="E11" s="79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>
      <c r="A12" s="25" t="s">
        <v>56</v>
      </c>
      <c r="B12" s="26" t="s">
        <v>56</v>
      </c>
      <c r="C12" s="26" t="s">
        <v>57</v>
      </c>
      <c r="D12" s="85" t="s">
        <v>58</v>
      </c>
      <c r="E12" s="86"/>
      <c r="F12" s="27" t="s">
        <v>4</v>
      </c>
      <c r="G12" s="27" t="s">
        <v>4</v>
      </c>
      <c r="H12" s="27" t="s">
        <v>4</v>
      </c>
      <c r="I12" s="27" t="s">
        <v>4</v>
      </c>
      <c r="J12" s="28">
        <f>SUM(J13:J19)</f>
        <v>81666.669985</v>
      </c>
      <c r="K12" s="28">
        <f>SUM(K13:K19)</f>
        <v>278333.33001500001</v>
      </c>
      <c r="L12" s="28">
        <f>SUM(L13:L19)</f>
        <v>360000</v>
      </c>
      <c r="M12" s="28">
        <f>SUM(M13:M19)</f>
        <v>435600</v>
      </c>
      <c r="N12" s="29" t="s">
        <v>56</v>
      </c>
      <c r="O12" s="28">
        <f>SUM(O13:O19)</f>
        <v>0</v>
      </c>
      <c r="P12" s="30" t="s">
        <v>56</v>
      </c>
      <c r="AI12" s="12" t="s">
        <v>56</v>
      </c>
      <c r="AS12" s="1">
        <f>SUM(AJ13:AJ19)</f>
        <v>0</v>
      </c>
      <c r="AT12" s="1">
        <f>SUM(AK13:AK19)</f>
        <v>0</v>
      </c>
      <c r="AU12" s="1">
        <f>SUM(AL13:AL19)</f>
        <v>360000</v>
      </c>
    </row>
    <row r="13" spans="1:76">
      <c r="A13" s="2" t="s">
        <v>59</v>
      </c>
      <c r="B13" s="3" t="s">
        <v>56</v>
      </c>
      <c r="C13" s="3" t="s">
        <v>60</v>
      </c>
      <c r="D13" s="74" t="s">
        <v>61</v>
      </c>
      <c r="E13" s="75"/>
      <c r="F13" s="3" t="s">
        <v>62</v>
      </c>
      <c r="G13" s="31">
        <v>1</v>
      </c>
      <c r="H13" s="31">
        <v>100000</v>
      </c>
      <c r="I13" s="32" t="s">
        <v>63</v>
      </c>
      <c r="J13" s="31">
        <f>G13*AO13</f>
        <v>0</v>
      </c>
      <c r="K13" s="31">
        <f>G13*AP13</f>
        <v>100000</v>
      </c>
      <c r="L13" s="31">
        <f>G13*H13</f>
        <v>100000</v>
      </c>
      <c r="M13" s="31">
        <f>L13*(1+BW13/100)</f>
        <v>121000</v>
      </c>
      <c r="N13" s="31">
        <v>0</v>
      </c>
      <c r="O13" s="31">
        <f>G13*N13</f>
        <v>0</v>
      </c>
      <c r="P13" s="33" t="s">
        <v>56</v>
      </c>
      <c r="Z13" s="31">
        <f>IF(AQ13="5",BJ13,0)</f>
        <v>0</v>
      </c>
      <c r="AB13" s="31">
        <f>IF(AQ13="1",BH13,0)</f>
        <v>0</v>
      </c>
      <c r="AC13" s="31">
        <f>IF(AQ13="1",BI13,0)</f>
        <v>100000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56</v>
      </c>
      <c r="AJ13" s="31">
        <f>IF(AN13=0,L13,0)</f>
        <v>0</v>
      </c>
      <c r="AK13" s="31">
        <f>IF(AN13=12,L13,0)</f>
        <v>0</v>
      </c>
      <c r="AL13" s="31">
        <f>IF(AN13=21,L13,0)</f>
        <v>100000</v>
      </c>
      <c r="AN13" s="31">
        <v>21</v>
      </c>
      <c r="AO13" s="31">
        <f>H13*0</f>
        <v>0</v>
      </c>
      <c r="AP13" s="31">
        <f>H13*(1-0)</f>
        <v>100000</v>
      </c>
      <c r="AQ13" s="32" t="s">
        <v>59</v>
      </c>
      <c r="AV13" s="31">
        <f>AW13+AX13</f>
        <v>100000</v>
      </c>
      <c r="AW13" s="31">
        <f>G13*AO13</f>
        <v>0</v>
      </c>
      <c r="AX13" s="31">
        <f>G13*AP13</f>
        <v>100000</v>
      </c>
      <c r="AY13" s="32" t="s">
        <v>64</v>
      </c>
      <c r="AZ13" s="32" t="s">
        <v>64</v>
      </c>
      <c r="BA13" s="12" t="s">
        <v>65</v>
      </c>
      <c r="BC13" s="31">
        <f>AW13+AX13</f>
        <v>100000</v>
      </c>
      <c r="BD13" s="31">
        <f>H13/(100-BE13)*100</f>
        <v>100000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100000</v>
      </c>
      <c r="BJ13" s="31">
        <f>G13*H13</f>
        <v>100000</v>
      </c>
      <c r="BK13" s="31"/>
      <c r="BL13" s="31">
        <v>0</v>
      </c>
      <c r="BW13" s="31" t="str">
        <f>I13</f>
        <v>21</v>
      </c>
      <c r="BX13" s="4" t="s">
        <v>61</v>
      </c>
    </row>
    <row r="14" spans="1:76">
      <c r="A14" s="34"/>
      <c r="D14" s="35" t="s">
        <v>66</v>
      </c>
      <c r="E14" s="35" t="s">
        <v>56</v>
      </c>
      <c r="G14" s="36">
        <v>1</v>
      </c>
      <c r="P14" s="37"/>
    </row>
    <row r="15" spans="1:76">
      <c r="A15" s="2" t="s">
        <v>67</v>
      </c>
      <c r="B15" s="3" t="s">
        <v>56</v>
      </c>
      <c r="C15" s="3" t="s">
        <v>68</v>
      </c>
      <c r="D15" s="74" t="s">
        <v>69</v>
      </c>
      <c r="E15" s="75"/>
      <c r="F15" s="3" t="s">
        <v>62</v>
      </c>
      <c r="G15" s="31">
        <v>1</v>
      </c>
      <c r="H15" s="31">
        <v>200000</v>
      </c>
      <c r="I15" s="32" t="s">
        <v>63</v>
      </c>
      <c r="J15" s="31">
        <f>G15*AO15</f>
        <v>66666.67</v>
      </c>
      <c r="K15" s="31">
        <f>G15*AP15</f>
        <v>133333.33000000002</v>
      </c>
      <c r="L15" s="31">
        <f>G15*H15</f>
        <v>200000</v>
      </c>
      <c r="M15" s="31">
        <f>L15*(1+BW15/100)</f>
        <v>242000</v>
      </c>
      <c r="N15" s="31">
        <v>0</v>
      </c>
      <c r="O15" s="31">
        <f>G15*N15</f>
        <v>0</v>
      </c>
      <c r="P15" s="33" t="s">
        <v>56</v>
      </c>
      <c r="Z15" s="31">
        <f>IF(AQ15="5",BJ15,0)</f>
        <v>0</v>
      </c>
      <c r="AB15" s="31">
        <f>IF(AQ15="1",BH15,0)</f>
        <v>66666.67</v>
      </c>
      <c r="AC15" s="31">
        <f>IF(AQ15="1",BI15,0)</f>
        <v>133333.33000000002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56</v>
      </c>
      <c r="AJ15" s="31">
        <f>IF(AN15=0,L15,0)</f>
        <v>0</v>
      </c>
      <c r="AK15" s="31">
        <f>IF(AN15=12,L15,0)</f>
        <v>0</v>
      </c>
      <c r="AL15" s="31">
        <f>IF(AN15=21,L15,0)</f>
        <v>200000</v>
      </c>
      <c r="AN15" s="31">
        <v>21</v>
      </c>
      <c r="AO15" s="31">
        <f>H15*0.33333335</f>
        <v>66666.67</v>
      </c>
      <c r="AP15" s="31">
        <f>H15*(1-0.33333335)</f>
        <v>133333.33000000002</v>
      </c>
      <c r="AQ15" s="32" t="s">
        <v>59</v>
      </c>
      <c r="AV15" s="31">
        <f>AW15+AX15</f>
        <v>200000</v>
      </c>
      <c r="AW15" s="31">
        <f>G15*AO15</f>
        <v>66666.67</v>
      </c>
      <c r="AX15" s="31">
        <f>G15*AP15</f>
        <v>133333.33000000002</v>
      </c>
      <c r="AY15" s="32" t="s">
        <v>64</v>
      </c>
      <c r="AZ15" s="32" t="s">
        <v>64</v>
      </c>
      <c r="BA15" s="12" t="s">
        <v>65</v>
      </c>
      <c r="BC15" s="31">
        <f>AW15+AX15</f>
        <v>200000</v>
      </c>
      <c r="BD15" s="31">
        <f>H15/(100-BE15)*100</f>
        <v>200000</v>
      </c>
      <c r="BE15" s="31">
        <v>0</v>
      </c>
      <c r="BF15" s="31">
        <f>O15</f>
        <v>0</v>
      </c>
      <c r="BH15" s="31">
        <f>G15*AO15</f>
        <v>66666.67</v>
      </c>
      <c r="BI15" s="31">
        <f>G15*AP15</f>
        <v>133333.33000000002</v>
      </c>
      <c r="BJ15" s="31">
        <f>G15*H15</f>
        <v>200000</v>
      </c>
      <c r="BK15" s="31"/>
      <c r="BL15" s="31">
        <v>0</v>
      </c>
      <c r="BW15" s="31" t="str">
        <f>I15</f>
        <v>21</v>
      </c>
      <c r="BX15" s="4" t="s">
        <v>69</v>
      </c>
    </row>
    <row r="16" spans="1:76">
      <c r="A16" s="34"/>
      <c r="D16" s="35" t="s">
        <v>70</v>
      </c>
      <c r="E16" s="35" t="s">
        <v>56</v>
      </c>
      <c r="G16" s="36">
        <v>1</v>
      </c>
      <c r="P16" s="37"/>
    </row>
    <row r="17" spans="1:76">
      <c r="A17" s="2" t="s">
        <v>71</v>
      </c>
      <c r="B17" s="3" t="s">
        <v>56</v>
      </c>
      <c r="C17" s="3" t="s">
        <v>72</v>
      </c>
      <c r="D17" s="74" t="s">
        <v>73</v>
      </c>
      <c r="E17" s="75"/>
      <c r="F17" s="3" t="s">
        <v>62</v>
      </c>
      <c r="G17" s="31">
        <v>1</v>
      </c>
      <c r="H17" s="31">
        <v>15000</v>
      </c>
      <c r="I17" s="32" t="s">
        <v>63</v>
      </c>
      <c r="J17" s="31">
        <f>G17*AO17</f>
        <v>0</v>
      </c>
      <c r="K17" s="31">
        <f>G17*AP17</f>
        <v>15000</v>
      </c>
      <c r="L17" s="31">
        <f>G17*H17</f>
        <v>15000</v>
      </c>
      <c r="M17" s="31">
        <f>L17*(1+BW17/100)</f>
        <v>18150</v>
      </c>
      <c r="N17" s="31">
        <v>0</v>
      </c>
      <c r="O17" s="31">
        <f>G17*N17</f>
        <v>0</v>
      </c>
      <c r="P17" s="33" t="s">
        <v>56</v>
      </c>
      <c r="Z17" s="31">
        <f>IF(AQ17="5",BJ17,0)</f>
        <v>0</v>
      </c>
      <c r="AB17" s="31">
        <f>IF(AQ17="1",BH17,0)</f>
        <v>0</v>
      </c>
      <c r="AC17" s="31">
        <f>IF(AQ17="1",BI17,0)</f>
        <v>15000</v>
      </c>
      <c r="AD17" s="31">
        <f>IF(AQ17="7",BH17,0)</f>
        <v>0</v>
      </c>
      <c r="AE17" s="31">
        <f>IF(AQ17="7",BI17,0)</f>
        <v>0</v>
      </c>
      <c r="AF17" s="31">
        <f>IF(AQ17="2",BH17,0)</f>
        <v>0</v>
      </c>
      <c r="AG17" s="31">
        <f>IF(AQ17="2",BI17,0)</f>
        <v>0</v>
      </c>
      <c r="AH17" s="31">
        <f>IF(AQ17="0",BJ17,0)</f>
        <v>0</v>
      </c>
      <c r="AI17" s="12" t="s">
        <v>56</v>
      </c>
      <c r="AJ17" s="31">
        <f>IF(AN17=0,L17,0)</f>
        <v>0</v>
      </c>
      <c r="AK17" s="31">
        <f>IF(AN17=12,L17,0)</f>
        <v>0</v>
      </c>
      <c r="AL17" s="31">
        <f>IF(AN17=21,L17,0)</f>
        <v>15000</v>
      </c>
      <c r="AN17" s="31">
        <v>21</v>
      </c>
      <c r="AO17" s="31">
        <f>H17*0</f>
        <v>0</v>
      </c>
      <c r="AP17" s="31">
        <f>H17*(1-0)</f>
        <v>15000</v>
      </c>
      <c r="AQ17" s="32" t="s">
        <v>59</v>
      </c>
      <c r="AV17" s="31">
        <f>AW17+AX17</f>
        <v>15000</v>
      </c>
      <c r="AW17" s="31">
        <f>G17*AO17</f>
        <v>0</v>
      </c>
      <c r="AX17" s="31">
        <f>G17*AP17</f>
        <v>15000</v>
      </c>
      <c r="AY17" s="32" t="s">
        <v>64</v>
      </c>
      <c r="AZ17" s="32" t="s">
        <v>64</v>
      </c>
      <c r="BA17" s="12" t="s">
        <v>65</v>
      </c>
      <c r="BC17" s="31">
        <f>AW17+AX17</f>
        <v>15000</v>
      </c>
      <c r="BD17" s="31">
        <f>H17/(100-BE17)*100</f>
        <v>15000</v>
      </c>
      <c r="BE17" s="31">
        <v>0</v>
      </c>
      <c r="BF17" s="31">
        <f>O17</f>
        <v>0</v>
      </c>
      <c r="BH17" s="31">
        <f>G17*AO17</f>
        <v>0</v>
      </c>
      <c r="BI17" s="31">
        <f>G17*AP17</f>
        <v>15000</v>
      </c>
      <c r="BJ17" s="31">
        <f>G17*H17</f>
        <v>15000</v>
      </c>
      <c r="BK17" s="31"/>
      <c r="BL17" s="31">
        <v>0</v>
      </c>
      <c r="BW17" s="31" t="str">
        <f>I17</f>
        <v>21</v>
      </c>
      <c r="BX17" s="4" t="s">
        <v>73</v>
      </c>
    </row>
    <row r="18" spans="1:76">
      <c r="A18" s="34"/>
      <c r="D18" s="35" t="s">
        <v>59</v>
      </c>
      <c r="E18" s="35" t="s">
        <v>56</v>
      </c>
      <c r="G18" s="36">
        <v>1</v>
      </c>
      <c r="P18" s="37"/>
    </row>
    <row r="19" spans="1:76">
      <c r="A19" s="2" t="s">
        <v>74</v>
      </c>
      <c r="B19" s="3" t="s">
        <v>56</v>
      </c>
      <c r="C19" s="3" t="s">
        <v>75</v>
      </c>
      <c r="D19" s="74" t="s">
        <v>76</v>
      </c>
      <c r="E19" s="75"/>
      <c r="F19" s="3" t="s">
        <v>77</v>
      </c>
      <c r="G19" s="31">
        <v>3</v>
      </c>
      <c r="H19" s="31">
        <v>15000</v>
      </c>
      <c r="I19" s="32" t="s">
        <v>63</v>
      </c>
      <c r="J19" s="31">
        <f>G19*AO19</f>
        <v>14999.999985</v>
      </c>
      <c r="K19" s="31">
        <f>G19*AP19</f>
        <v>30000.000014999998</v>
      </c>
      <c r="L19" s="31">
        <f>G19*H19</f>
        <v>45000</v>
      </c>
      <c r="M19" s="31">
        <f>L19*(1+BW19/100)</f>
        <v>54450</v>
      </c>
      <c r="N19" s="31">
        <v>0</v>
      </c>
      <c r="O19" s="31">
        <f>G19*N19</f>
        <v>0</v>
      </c>
      <c r="P19" s="33" t="s">
        <v>56</v>
      </c>
      <c r="Z19" s="31">
        <f>IF(AQ19="5",BJ19,0)</f>
        <v>0</v>
      </c>
      <c r="AB19" s="31">
        <f>IF(AQ19="1",BH19,0)</f>
        <v>14999.999985</v>
      </c>
      <c r="AC19" s="31">
        <f>IF(AQ19="1",BI19,0)</f>
        <v>30000.000014999998</v>
      </c>
      <c r="AD19" s="31">
        <f>IF(AQ19="7",BH19,0)</f>
        <v>0</v>
      </c>
      <c r="AE19" s="31">
        <f>IF(AQ19="7",BI19,0)</f>
        <v>0</v>
      </c>
      <c r="AF19" s="31">
        <f>IF(AQ19="2",BH19,0)</f>
        <v>0</v>
      </c>
      <c r="AG19" s="31">
        <f>IF(AQ19="2",BI19,0)</f>
        <v>0</v>
      </c>
      <c r="AH19" s="31">
        <f>IF(AQ19="0",BJ19,0)</f>
        <v>0</v>
      </c>
      <c r="AI19" s="12" t="s">
        <v>56</v>
      </c>
      <c r="AJ19" s="31">
        <f>IF(AN19=0,L19,0)</f>
        <v>0</v>
      </c>
      <c r="AK19" s="31">
        <f>IF(AN19=12,L19,0)</f>
        <v>0</v>
      </c>
      <c r="AL19" s="31">
        <f>IF(AN19=21,L19,0)</f>
        <v>45000</v>
      </c>
      <c r="AN19" s="31">
        <v>21</v>
      </c>
      <c r="AO19" s="31">
        <f>H19*0.333333333</f>
        <v>4999.9999950000001</v>
      </c>
      <c r="AP19" s="31">
        <f>H19*(1-0.333333333)</f>
        <v>10000.000005</v>
      </c>
      <c r="AQ19" s="32" t="s">
        <v>59</v>
      </c>
      <c r="AV19" s="31">
        <f>AW19+AX19</f>
        <v>45000</v>
      </c>
      <c r="AW19" s="31">
        <f>G19*AO19</f>
        <v>14999.999985</v>
      </c>
      <c r="AX19" s="31">
        <f>G19*AP19</f>
        <v>30000.000014999998</v>
      </c>
      <c r="AY19" s="32" t="s">
        <v>64</v>
      </c>
      <c r="AZ19" s="32" t="s">
        <v>64</v>
      </c>
      <c r="BA19" s="12" t="s">
        <v>65</v>
      </c>
      <c r="BC19" s="31">
        <f>AW19+AX19</f>
        <v>45000</v>
      </c>
      <c r="BD19" s="31">
        <f>H19/(100-BE19)*100</f>
        <v>15000</v>
      </c>
      <c r="BE19" s="31">
        <v>0</v>
      </c>
      <c r="BF19" s="31">
        <f>O19</f>
        <v>0</v>
      </c>
      <c r="BH19" s="31">
        <f>G19*AO19</f>
        <v>14999.999985</v>
      </c>
      <c r="BI19" s="31">
        <f>G19*AP19</f>
        <v>30000.000014999998</v>
      </c>
      <c r="BJ19" s="31">
        <f>G19*H19</f>
        <v>45000</v>
      </c>
      <c r="BK19" s="31"/>
      <c r="BL19" s="31">
        <v>0</v>
      </c>
      <c r="BW19" s="31" t="str">
        <f>I19</f>
        <v>21</v>
      </c>
      <c r="BX19" s="4" t="s">
        <v>76</v>
      </c>
    </row>
    <row r="20" spans="1:76">
      <c r="A20" s="34"/>
      <c r="D20" s="35" t="s">
        <v>78</v>
      </c>
      <c r="E20" s="35" t="s">
        <v>56</v>
      </c>
      <c r="G20" s="36">
        <v>3</v>
      </c>
      <c r="P20" s="37"/>
    </row>
    <row r="21" spans="1:76">
      <c r="A21" s="38" t="s">
        <v>56</v>
      </c>
      <c r="B21" s="39" t="s">
        <v>56</v>
      </c>
      <c r="C21" s="39" t="s">
        <v>79</v>
      </c>
      <c r="D21" s="76" t="s">
        <v>80</v>
      </c>
      <c r="E21" s="77"/>
      <c r="F21" s="40" t="s">
        <v>4</v>
      </c>
      <c r="G21" s="40" t="s">
        <v>4</v>
      </c>
      <c r="H21" s="40" t="s">
        <v>4</v>
      </c>
      <c r="I21" s="40" t="s">
        <v>4</v>
      </c>
      <c r="J21" s="1">
        <f>SUM(J22:J36)</f>
        <v>36032.219889921136</v>
      </c>
      <c r="K21" s="1">
        <f>SUM(K22:K36)</f>
        <v>324660.63411007886</v>
      </c>
      <c r="L21" s="1">
        <f>SUM(L22:L36)</f>
        <v>360692.85399999999</v>
      </c>
      <c r="M21" s="1">
        <f>SUM(M22:M36)</f>
        <v>436438.35333999997</v>
      </c>
      <c r="N21" s="12" t="s">
        <v>56</v>
      </c>
      <c r="O21" s="1">
        <f>SUM(O22:O36)</f>
        <v>552.50820199999998</v>
      </c>
      <c r="P21" s="41" t="s">
        <v>56</v>
      </c>
      <c r="AI21" s="12" t="s">
        <v>56</v>
      </c>
      <c r="AS21" s="1">
        <f>SUM(AJ22:AJ36)</f>
        <v>0</v>
      </c>
      <c r="AT21" s="1">
        <f>SUM(AK22:AK36)</f>
        <v>0</v>
      </c>
      <c r="AU21" s="1">
        <f>SUM(AL22:AL36)</f>
        <v>360692.85399999999</v>
      </c>
    </row>
    <row r="22" spans="1:76">
      <c r="A22" s="2" t="s">
        <v>81</v>
      </c>
      <c r="B22" s="3" t="s">
        <v>56</v>
      </c>
      <c r="C22" s="3" t="s">
        <v>82</v>
      </c>
      <c r="D22" s="74" t="s">
        <v>83</v>
      </c>
      <c r="E22" s="75"/>
      <c r="F22" s="3" t="s">
        <v>84</v>
      </c>
      <c r="G22" s="31">
        <v>96</v>
      </c>
      <c r="H22" s="31">
        <v>366</v>
      </c>
      <c r="I22" s="32" t="s">
        <v>63</v>
      </c>
      <c r="J22" s="31">
        <f>G22*AO22</f>
        <v>10258.559995968</v>
      </c>
      <c r="K22" s="31">
        <f>G22*AP22</f>
        <v>24877.440004032</v>
      </c>
      <c r="L22" s="31">
        <f>G22*H22</f>
        <v>35136</v>
      </c>
      <c r="M22" s="31">
        <f>L22*(1+BW22/100)</f>
        <v>42514.559999999998</v>
      </c>
      <c r="N22" s="31">
        <v>2.478E-2</v>
      </c>
      <c r="O22" s="31">
        <f>G22*N22</f>
        <v>2.3788800000000001</v>
      </c>
      <c r="P22" s="33" t="s">
        <v>85</v>
      </c>
      <c r="Z22" s="31">
        <f>IF(AQ22="5",BJ22,0)</f>
        <v>0</v>
      </c>
      <c r="AB22" s="31">
        <f>IF(AQ22="1",BH22,0)</f>
        <v>10258.559995968</v>
      </c>
      <c r="AC22" s="31">
        <f>IF(AQ22="1",BI22,0)</f>
        <v>24877.440004032</v>
      </c>
      <c r="AD22" s="31">
        <f>IF(AQ22="7",BH22,0)</f>
        <v>0</v>
      </c>
      <c r="AE22" s="31">
        <f>IF(AQ22="7",BI22,0)</f>
        <v>0</v>
      </c>
      <c r="AF22" s="31">
        <f>IF(AQ22="2",BH22,0)</f>
        <v>0</v>
      </c>
      <c r="AG22" s="31">
        <f>IF(AQ22="2",BI22,0)</f>
        <v>0</v>
      </c>
      <c r="AH22" s="31">
        <f>IF(AQ22="0",BJ22,0)</f>
        <v>0</v>
      </c>
      <c r="AI22" s="12" t="s">
        <v>56</v>
      </c>
      <c r="AJ22" s="31">
        <f>IF(AN22=0,L22,0)</f>
        <v>0</v>
      </c>
      <c r="AK22" s="31">
        <f>IF(AN22=12,L22,0)</f>
        <v>0</v>
      </c>
      <c r="AL22" s="31">
        <f>IF(AN22=21,L22,0)</f>
        <v>35136</v>
      </c>
      <c r="AN22" s="31">
        <v>21</v>
      </c>
      <c r="AO22" s="31">
        <f>H22*0.291967213</f>
        <v>106.859999958</v>
      </c>
      <c r="AP22" s="31">
        <f>H22*(1-0.291967213)</f>
        <v>259.140000042</v>
      </c>
      <c r="AQ22" s="32" t="s">
        <v>59</v>
      </c>
      <c r="AV22" s="31">
        <f>AW22+AX22</f>
        <v>35136</v>
      </c>
      <c r="AW22" s="31">
        <f>G22*AO22</f>
        <v>10258.559995968</v>
      </c>
      <c r="AX22" s="31">
        <f>G22*AP22</f>
        <v>24877.440004032</v>
      </c>
      <c r="AY22" s="32" t="s">
        <v>86</v>
      </c>
      <c r="AZ22" s="32" t="s">
        <v>87</v>
      </c>
      <c r="BA22" s="12" t="s">
        <v>65</v>
      </c>
      <c r="BC22" s="31">
        <f>AW22+AX22</f>
        <v>35136</v>
      </c>
      <c r="BD22" s="31">
        <f>H22/(100-BE22)*100</f>
        <v>366</v>
      </c>
      <c r="BE22" s="31">
        <v>0</v>
      </c>
      <c r="BF22" s="31">
        <f>O22</f>
        <v>2.3788800000000001</v>
      </c>
      <c r="BH22" s="31">
        <f>G22*AO22</f>
        <v>10258.559995968</v>
      </c>
      <c r="BI22" s="31">
        <f>G22*AP22</f>
        <v>24877.440004032</v>
      </c>
      <c r="BJ22" s="31">
        <f>G22*H22</f>
        <v>35136</v>
      </c>
      <c r="BK22" s="31"/>
      <c r="BL22" s="31">
        <v>11</v>
      </c>
      <c r="BW22" s="31" t="str">
        <f>I22</f>
        <v>21</v>
      </c>
      <c r="BX22" s="4" t="s">
        <v>83</v>
      </c>
    </row>
    <row r="23" spans="1:76">
      <c r="A23" s="34"/>
      <c r="D23" s="35" t="s">
        <v>88</v>
      </c>
      <c r="E23" s="35" t="s">
        <v>56</v>
      </c>
      <c r="G23" s="36">
        <v>27</v>
      </c>
      <c r="P23" s="37"/>
    </row>
    <row r="24" spans="1:76">
      <c r="A24" s="34"/>
      <c r="D24" s="35" t="s">
        <v>89</v>
      </c>
      <c r="E24" s="35" t="s">
        <v>56</v>
      </c>
      <c r="G24" s="36">
        <v>38</v>
      </c>
      <c r="P24" s="37"/>
    </row>
    <row r="25" spans="1:76">
      <c r="A25" s="34"/>
      <c r="D25" s="35" t="s">
        <v>90</v>
      </c>
      <c r="E25" s="35" t="s">
        <v>56</v>
      </c>
      <c r="G25" s="36">
        <v>31</v>
      </c>
      <c r="P25" s="37"/>
    </row>
    <row r="26" spans="1:76">
      <c r="A26" s="2" t="s">
        <v>91</v>
      </c>
      <c r="B26" s="3" t="s">
        <v>56</v>
      </c>
      <c r="C26" s="3" t="s">
        <v>92</v>
      </c>
      <c r="D26" s="74" t="s">
        <v>93</v>
      </c>
      <c r="E26" s="75"/>
      <c r="F26" s="3" t="s">
        <v>84</v>
      </c>
      <c r="G26" s="31">
        <v>115</v>
      </c>
      <c r="H26" s="31">
        <v>742</v>
      </c>
      <c r="I26" s="32" t="s">
        <v>63</v>
      </c>
      <c r="J26" s="31">
        <f>G26*AO26</f>
        <v>21944.29997263</v>
      </c>
      <c r="K26" s="31">
        <f>G26*AP26</f>
        <v>63385.700027369996</v>
      </c>
      <c r="L26" s="31">
        <f>G26*H26</f>
        <v>85330</v>
      </c>
      <c r="M26" s="31">
        <f>L26*(1+BW26/100)</f>
        <v>103249.3</v>
      </c>
      <c r="N26" s="31">
        <v>1.2710000000000001E-2</v>
      </c>
      <c r="O26" s="31">
        <f>G26*N26</f>
        <v>1.4616500000000001</v>
      </c>
      <c r="P26" s="33" t="s">
        <v>85</v>
      </c>
      <c r="Z26" s="31">
        <f>IF(AQ26="5",BJ26,0)</f>
        <v>0</v>
      </c>
      <c r="AB26" s="31">
        <f>IF(AQ26="1",BH26,0)</f>
        <v>21944.29997263</v>
      </c>
      <c r="AC26" s="31">
        <f>IF(AQ26="1",BI26,0)</f>
        <v>63385.700027369996</v>
      </c>
      <c r="AD26" s="31">
        <f>IF(AQ26="7",BH26,0)</f>
        <v>0</v>
      </c>
      <c r="AE26" s="31">
        <f>IF(AQ26="7",BI26,0)</f>
        <v>0</v>
      </c>
      <c r="AF26" s="31">
        <f>IF(AQ26="2",BH26,0)</f>
        <v>0</v>
      </c>
      <c r="AG26" s="31">
        <f>IF(AQ26="2",BI26,0)</f>
        <v>0</v>
      </c>
      <c r="AH26" s="31">
        <f>IF(AQ26="0",BJ26,0)</f>
        <v>0</v>
      </c>
      <c r="AI26" s="12" t="s">
        <v>56</v>
      </c>
      <c r="AJ26" s="31">
        <f>IF(AN26=0,L26,0)</f>
        <v>0</v>
      </c>
      <c r="AK26" s="31">
        <f>IF(AN26=12,L26,0)</f>
        <v>0</v>
      </c>
      <c r="AL26" s="31">
        <f>IF(AN26=21,L26,0)</f>
        <v>85330</v>
      </c>
      <c r="AN26" s="31">
        <v>21</v>
      </c>
      <c r="AO26" s="31">
        <f>H26*0.257169811</f>
        <v>190.81999976200001</v>
      </c>
      <c r="AP26" s="31">
        <f>H26*(1-0.257169811)</f>
        <v>551.18000023799993</v>
      </c>
      <c r="AQ26" s="32" t="s">
        <v>59</v>
      </c>
      <c r="AV26" s="31">
        <f>AW26+AX26</f>
        <v>85330</v>
      </c>
      <c r="AW26" s="31">
        <f>G26*AO26</f>
        <v>21944.29997263</v>
      </c>
      <c r="AX26" s="31">
        <f>G26*AP26</f>
        <v>63385.700027369996</v>
      </c>
      <c r="AY26" s="32" t="s">
        <v>86</v>
      </c>
      <c r="AZ26" s="32" t="s">
        <v>87</v>
      </c>
      <c r="BA26" s="12" t="s">
        <v>65</v>
      </c>
      <c r="BC26" s="31">
        <f>AW26+AX26</f>
        <v>85330</v>
      </c>
      <c r="BD26" s="31">
        <f>H26/(100-BE26)*100</f>
        <v>742</v>
      </c>
      <c r="BE26" s="31">
        <v>0</v>
      </c>
      <c r="BF26" s="31">
        <f>O26</f>
        <v>1.4616500000000001</v>
      </c>
      <c r="BH26" s="31">
        <f>G26*AO26</f>
        <v>21944.29997263</v>
      </c>
      <c r="BI26" s="31">
        <f>G26*AP26</f>
        <v>63385.700027369996</v>
      </c>
      <c r="BJ26" s="31">
        <f>G26*H26</f>
        <v>85330</v>
      </c>
      <c r="BK26" s="31"/>
      <c r="BL26" s="31">
        <v>11</v>
      </c>
      <c r="BW26" s="31" t="str">
        <f>I26</f>
        <v>21</v>
      </c>
      <c r="BX26" s="4" t="s">
        <v>93</v>
      </c>
    </row>
    <row r="27" spans="1:76">
      <c r="A27" s="34"/>
      <c r="D27" s="35" t="s">
        <v>94</v>
      </c>
      <c r="E27" s="35" t="s">
        <v>56</v>
      </c>
      <c r="G27" s="36">
        <v>29</v>
      </c>
      <c r="P27" s="37"/>
    </row>
    <row r="28" spans="1:76">
      <c r="A28" s="34"/>
      <c r="D28" s="35" t="s">
        <v>95</v>
      </c>
      <c r="E28" s="35" t="s">
        <v>56</v>
      </c>
      <c r="G28" s="36">
        <v>42</v>
      </c>
      <c r="P28" s="37"/>
    </row>
    <row r="29" spans="1:76">
      <c r="A29" s="34"/>
      <c r="D29" s="35" t="s">
        <v>96</v>
      </c>
      <c r="E29" s="35" t="s">
        <v>56</v>
      </c>
      <c r="G29" s="36">
        <v>44</v>
      </c>
      <c r="P29" s="37"/>
    </row>
    <row r="30" spans="1:76">
      <c r="A30" s="2" t="s">
        <v>97</v>
      </c>
      <c r="B30" s="3" t="s">
        <v>56</v>
      </c>
      <c r="C30" s="3" t="s">
        <v>98</v>
      </c>
      <c r="D30" s="74" t="s">
        <v>99</v>
      </c>
      <c r="E30" s="75"/>
      <c r="F30" s="3" t="s">
        <v>100</v>
      </c>
      <c r="G30" s="31">
        <v>213.8</v>
      </c>
      <c r="H30" s="31">
        <v>64.39</v>
      </c>
      <c r="I30" s="32" t="s">
        <v>63</v>
      </c>
      <c r="J30" s="31">
        <f>G30*AO30</f>
        <v>0</v>
      </c>
      <c r="K30" s="31">
        <f>G30*AP30</f>
        <v>13766.582</v>
      </c>
      <c r="L30" s="31">
        <f>G30*H30</f>
        <v>13766.582</v>
      </c>
      <c r="M30" s="31">
        <f>L30*(1+BW30/100)</f>
        <v>16657.56422</v>
      </c>
      <c r="N30" s="31">
        <v>0.22500000000000001</v>
      </c>
      <c r="O30" s="31">
        <f>G30*N30</f>
        <v>48.105000000000004</v>
      </c>
      <c r="P30" s="33" t="s">
        <v>85</v>
      </c>
      <c r="Z30" s="31">
        <f>IF(AQ30="5",BJ30,0)</f>
        <v>0</v>
      </c>
      <c r="AB30" s="31">
        <f>IF(AQ30="1",BH30,0)</f>
        <v>0</v>
      </c>
      <c r="AC30" s="31">
        <f>IF(AQ30="1",BI30,0)</f>
        <v>13766.582</v>
      </c>
      <c r="AD30" s="31">
        <f>IF(AQ30="7",BH30,0)</f>
        <v>0</v>
      </c>
      <c r="AE30" s="31">
        <f>IF(AQ30="7",BI30,0)</f>
        <v>0</v>
      </c>
      <c r="AF30" s="31">
        <f>IF(AQ30="2",BH30,0)</f>
        <v>0</v>
      </c>
      <c r="AG30" s="31">
        <f>IF(AQ30="2",BI30,0)</f>
        <v>0</v>
      </c>
      <c r="AH30" s="31">
        <f>IF(AQ30="0",BJ30,0)</f>
        <v>0</v>
      </c>
      <c r="AI30" s="12" t="s">
        <v>56</v>
      </c>
      <c r="AJ30" s="31">
        <f>IF(AN30=0,L30,0)</f>
        <v>0</v>
      </c>
      <c r="AK30" s="31">
        <f>IF(AN30=12,L30,0)</f>
        <v>0</v>
      </c>
      <c r="AL30" s="31">
        <f>IF(AN30=21,L30,0)</f>
        <v>13766.582</v>
      </c>
      <c r="AN30" s="31">
        <v>21</v>
      </c>
      <c r="AO30" s="31">
        <f>H30*0</f>
        <v>0</v>
      </c>
      <c r="AP30" s="31">
        <f>H30*(1-0)</f>
        <v>64.39</v>
      </c>
      <c r="AQ30" s="32" t="s">
        <v>59</v>
      </c>
      <c r="AV30" s="31">
        <f>AW30+AX30</f>
        <v>13766.582</v>
      </c>
      <c r="AW30" s="31">
        <f>G30*AO30</f>
        <v>0</v>
      </c>
      <c r="AX30" s="31">
        <f>G30*AP30</f>
        <v>13766.582</v>
      </c>
      <c r="AY30" s="32" t="s">
        <v>86</v>
      </c>
      <c r="AZ30" s="32" t="s">
        <v>87</v>
      </c>
      <c r="BA30" s="12" t="s">
        <v>65</v>
      </c>
      <c r="BC30" s="31">
        <f>AW30+AX30</f>
        <v>13766.582</v>
      </c>
      <c r="BD30" s="31">
        <f>H30/(100-BE30)*100</f>
        <v>64.39</v>
      </c>
      <c r="BE30" s="31">
        <v>0</v>
      </c>
      <c r="BF30" s="31">
        <f>O30</f>
        <v>48.105000000000004</v>
      </c>
      <c r="BH30" s="31">
        <f>G30*AO30</f>
        <v>0</v>
      </c>
      <c r="BI30" s="31">
        <f>G30*AP30</f>
        <v>13766.582</v>
      </c>
      <c r="BJ30" s="31">
        <f>G30*H30</f>
        <v>13766.582</v>
      </c>
      <c r="BK30" s="31"/>
      <c r="BL30" s="31">
        <v>11</v>
      </c>
      <c r="BW30" s="31" t="str">
        <f>I30</f>
        <v>21</v>
      </c>
      <c r="BX30" s="4" t="s">
        <v>99</v>
      </c>
    </row>
    <row r="31" spans="1:76">
      <c r="A31" s="34"/>
      <c r="D31" s="35" t="s">
        <v>101</v>
      </c>
      <c r="E31" s="35" t="s">
        <v>56</v>
      </c>
      <c r="G31" s="36">
        <v>213.8</v>
      </c>
      <c r="P31" s="37"/>
    </row>
    <row r="32" spans="1:76">
      <c r="A32" s="2" t="s">
        <v>102</v>
      </c>
      <c r="B32" s="3" t="s">
        <v>56</v>
      </c>
      <c r="C32" s="3" t="s">
        <v>103</v>
      </c>
      <c r="D32" s="74" t="s">
        <v>104</v>
      </c>
      <c r="E32" s="75"/>
      <c r="F32" s="3" t="s">
        <v>100</v>
      </c>
      <c r="G32" s="31">
        <v>507.2</v>
      </c>
      <c r="H32" s="31">
        <v>343.99</v>
      </c>
      <c r="I32" s="32" t="s">
        <v>63</v>
      </c>
      <c r="J32" s="31">
        <f>G32*AO32</f>
        <v>3829.3599213231359</v>
      </c>
      <c r="K32" s="31">
        <f>G32*AP32</f>
        <v>170642.36807867687</v>
      </c>
      <c r="L32" s="31">
        <f>G32*H32</f>
        <v>174471.728</v>
      </c>
      <c r="M32" s="31">
        <f>L32*(1+BW32/100)</f>
        <v>211110.79087999999</v>
      </c>
      <c r="N32" s="31">
        <v>0.90051000000000003</v>
      </c>
      <c r="O32" s="31">
        <f>G32*N32</f>
        <v>456.73867200000001</v>
      </c>
      <c r="P32" s="33" t="s">
        <v>85</v>
      </c>
      <c r="Z32" s="31">
        <f>IF(AQ32="5",BJ32,0)</f>
        <v>0</v>
      </c>
      <c r="AB32" s="31">
        <f>IF(AQ32="1",BH32,0)</f>
        <v>3829.3599213231359</v>
      </c>
      <c r="AC32" s="31">
        <f>IF(AQ32="1",BI32,0)</f>
        <v>170642.36807867687</v>
      </c>
      <c r="AD32" s="31">
        <f>IF(AQ32="7",BH32,0)</f>
        <v>0</v>
      </c>
      <c r="AE32" s="31">
        <f>IF(AQ32="7",BI32,0)</f>
        <v>0</v>
      </c>
      <c r="AF32" s="31">
        <f>IF(AQ32="2",BH32,0)</f>
        <v>0</v>
      </c>
      <c r="AG32" s="31">
        <f>IF(AQ32="2",BI32,0)</f>
        <v>0</v>
      </c>
      <c r="AH32" s="31">
        <f>IF(AQ32="0",BJ32,0)</f>
        <v>0</v>
      </c>
      <c r="AI32" s="12" t="s">
        <v>56</v>
      </c>
      <c r="AJ32" s="31">
        <f>IF(AN32=0,L32,0)</f>
        <v>0</v>
      </c>
      <c r="AK32" s="31">
        <f>IF(AN32=12,L32,0)</f>
        <v>0</v>
      </c>
      <c r="AL32" s="31">
        <f>IF(AN32=21,L32,0)</f>
        <v>174471.728</v>
      </c>
      <c r="AN32" s="31">
        <v>21</v>
      </c>
      <c r="AO32" s="31">
        <f>H32*0.021948312</f>
        <v>7.5499998448800003</v>
      </c>
      <c r="AP32" s="31">
        <f>H32*(1-0.021948312)</f>
        <v>336.44000015512</v>
      </c>
      <c r="AQ32" s="32" t="s">
        <v>59</v>
      </c>
      <c r="AV32" s="31">
        <f>AW32+AX32</f>
        <v>174471.728</v>
      </c>
      <c r="AW32" s="31">
        <f>G32*AO32</f>
        <v>3829.3599213231359</v>
      </c>
      <c r="AX32" s="31">
        <f>G32*AP32</f>
        <v>170642.36807867687</v>
      </c>
      <c r="AY32" s="32" t="s">
        <v>86</v>
      </c>
      <c r="AZ32" s="32" t="s">
        <v>87</v>
      </c>
      <c r="BA32" s="12" t="s">
        <v>65</v>
      </c>
      <c r="BC32" s="31">
        <f>AW32+AX32</f>
        <v>174471.728</v>
      </c>
      <c r="BD32" s="31">
        <f>H32/(100-BE32)*100</f>
        <v>343.99</v>
      </c>
      <c r="BE32" s="31">
        <v>0</v>
      </c>
      <c r="BF32" s="31">
        <f>O32</f>
        <v>456.73867200000001</v>
      </c>
      <c r="BH32" s="31">
        <f>G32*AO32</f>
        <v>3829.3599213231359</v>
      </c>
      <c r="BI32" s="31">
        <f>G32*AP32</f>
        <v>170642.36807867687</v>
      </c>
      <c r="BJ32" s="31">
        <f>G32*H32</f>
        <v>174471.728</v>
      </c>
      <c r="BK32" s="31"/>
      <c r="BL32" s="31">
        <v>11</v>
      </c>
      <c r="BW32" s="31" t="str">
        <f>I32</f>
        <v>21</v>
      </c>
      <c r="BX32" s="4" t="s">
        <v>104</v>
      </c>
    </row>
    <row r="33" spans="1:76">
      <c r="A33" s="34"/>
      <c r="D33" s="35" t="s">
        <v>105</v>
      </c>
      <c r="E33" s="35" t="s">
        <v>56</v>
      </c>
      <c r="G33" s="36">
        <v>507.2</v>
      </c>
      <c r="P33" s="37"/>
    </row>
    <row r="34" spans="1:76">
      <c r="A34" s="2" t="s">
        <v>106</v>
      </c>
      <c r="B34" s="3" t="s">
        <v>56</v>
      </c>
      <c r="C34" s="3" t="s">
        <v>107</v>
      </c>
      <c r="D34" s="74" t="s">
        <v>108</v>
      </c>
      <c r="E34" s="75"/>
      <c r="F34" s="3" t="s">
        <v>100</v>
      </c>
      <c r="G34" s="31">
        <v>132.80000000000001</v>
      </c>
      <c r="H34" s="31">
        <v>125.99</v>
      </c>
      <c r="I34" s="32" t="s">
        <v>63</v>
      </c>
      <c r="J34" s="31">
        <f>G34*AO34</f>
        <v>0</v>
      </c>
      <c r="K34" s="31">
        <f>G34*AP34</f>
        <v>16731.472000000002</v>
      </c>
      <c r="L34" s="31">
        <f>G34*H34</f>
        <v>16731.472000000002</v>
      </c>
      <c r="M34" s="31">
        <f>L34*(1+BW34/100)</f>
        <v>20245.081120000003</v>
      </c>
      <c r="N34" s="31">
        <v>0.11</v>
      </c>
      <c r="O34" s="31">
        <f>G34*N34</f>
        <v>14.608000000000001</v>
      </c>
      <c r="P34" s="33" t="s">
        <v>85</v>
      </c>
      <c r="Z34" s="31">
        <f>IF(AQ34="5",BJ34,0)</f>
        <v>0</v>
      </c>
      <c r="AB34" s="31">
        <f>IF(AQ34="1",BH34,0)</f>
        <v>0</v>
      </c>
      <c r="AC34" s="31">
        <f>IF(AQ34="1",BI34,0)</f>
        <v>16731.472000000002</v>
      </c>
      <c r="AD34" s="31">
        <f>IF(AQ34="7",BH34,0)</f>
        <v>0</v>
      </c>
      <c r="AE34" s="31">
        <f>IF(AQ34="7",BI34,0)</f>
        <v>0</v>
      </c>
      <c r="AF34" s="31">
        <f>IF(AQ34="2",BH34,0)</f>
        <v>0</v>
      </c>
      <c r="AG34" s="31">
        <f>IF(AQ34="2",BI34,0)</f>
        <v>0</v>
      </c>
      <c r="AH34" s="31">
        <f>IF(AQ34="0",BJ34,0)</f>
        <v>0</v>
      </c>
      <c r="AI34" s="12" t="s">
        <v>56</v>
      </c>
      <c r="AJ34" s="31">
        <f>IF(AN34=0,L34,0)</f>
        <v>0</v>
      </c>
      <c r="AK34" s="31">
        <f>IF(AN34=12,L34,0)</f>
        <v>0</v>
      </c>
      <c r="AL34" s="31">
        <f>IF(AN34=21,L34,0)</f>
        <v>16731.472000000002</v>
      </c>
      <c r="AN34" s="31">
        <v>21</v>
      </c>
      <c r="AO34" s="31">
        <f>H34*0</f>
        <v>0</v>
      </c>
      <c r="AP34" s="31">
        <f>H34*(1-0)</f>
        <v>125.99</v>
      </c>
      <c r="AQ34" s="32" t="s">
        <v>59</v>
      </c>
      <c r="AV34" s="31">
        <f>AW34+AX34</f>
        <v>16731.472000000002</v>
      </c>
      <c r="AW34" s="31">
        <f>G34*AO34</f>
        <v>0</v>
      </c>
      <c r="AX34" s="31">
        <f>G34*AP34</f>
        <v>16731.472000000002</v>
      </c>
      <c r="AY34" s="32" t="s">
        <v>86</v>
      </c>
      <c r="AZ34" s="32" t="s">
        <v>87</v>
      </c>
      <c r="BA34" s="12" t="s">
        <v>65</v>
      </c>
      <c r="BC34" s="31">
        <f>AW34+AX34</f>
        <v>16731.472000000002</v>
      </c>
      <c r="BD34" s="31">
        <f>H34/(100-BE34)*100</f>
        <v>125.99000000000001</v>
      </c>
      <c r="BE34" s="31">
        <v>0</v>
      </c>
      <c r="BF34" s="31">
        <f>O34</f>
        <v>14.608000000000001</v>
      </c>
      <c r="BH34" s="31">
        <f>G34*AO34</f>
        <v>0</v>
      </c>
      <c r="BI34" s="31">
        <f>G34*AP34</f>
        <v>16731.472000000002</v>
      </c>
      <c r="BJ34" s="31">
        <f>G34*H34</f>
        <v>16731.472000000002</v>
      </c>
      <c r="BK34" s="31"/>
      <c r="BL34" s="31">
        <v>11</v>
      </c>
      <c r="BW34" s="31" t="str">
        <f>I34</f>
        <v>21</v>
      </c>
      <c r="BX34" s="4" t="s">
        <v>108</v>
      </c>
    </row>
    <row r="35" spans="1:76">
      <c r="A35" s="34"/>
      <c r="D35" s="35" t="s">
        <v>109</v>
      </c>
      <c r="E35" s="35" t="s">
        <v>56</v>
      </c>
      <c r="G35" s="36">
        <v>132.80000000000001</v>
      </c>
      <c r="P35" s="37"/>
    </row>
    <row r="36" spans="1:76">
      <c r="A36" s="2" t="s">
        <v>110</v>
      </c>
      <c r="B36" s="3" t="s">
        <v>56</v>
      </c>
      <c r="C36" s="3" t="s">
        <v>111</v>
      </c>
      <c r="D36" s="74" t="s">
        <v>112</v>
      </c>
      <c r="E36" s="75"/>
      <c r="F36" s="3" t="s">
        <v>100</v>
      </c>
      <c r="G36" s="31">
        <v>132.80000000000001</v>
      </c>
      <c r="H36" s="31">
        <v>265.49</v>
      </c>
      <c r="I36" s="32" t="s">
        <v>63</v>
      </c>
      <c r="J36" s="31">
        <f>G36*AO36</f>
        <v>0</v>
      </c>
      <c r="K36" s="31">
        <f>G36*AP36</f>
        <v>35257.072000000007</v>
      </c>
      <c r="L36" s="31">
        <f>G36*H36</f>
        <v>35257.072000000007</v>
      </c>
      <c r="M36" s="31">
        <f>L36*(1+BW36/100)</f>
        <v>42661.057120000005</v>
      </c>
      <c r="N36" s="31">
        <v>0.22</v>
      </c>
      <c r="O36" s="31">
        <f>G36*N36</f>
        <v>29.216000000000001</v>
      </c>
      <c r="P36" s="33" t="s">
        <v>85</v>
      </c>
      <c r="Z36" s="31">
        <f>IF(AQ36="5",BJ36,0)</f>
        <v>0</v>
      </c>
      <c r="AB36" s="31">
        <f>IF(AQ36="1",BH36,0)</f>
        <v>0</v>
      </c>
      <c r="AC36" s="31">
        <f>IF(AQ36="1",BI36,0)</f>
        <v>35257.072000000007</v>
      </c>
      <c r="AD36" s="31">
        <f>IF(AQ36="7",BH36,0)</f>
        <v>0</v>
      </c>
      <c r="AE36" s="31">
        <f>IF(AQ36="7",BI36,0)</f>
        <v>0</v>
      </c>
      <c r="AF36" s="31">
        <f>IF(AQ36="2",BH36,0)</f>
        <v>0</v>
      </c>
      <c r="AG36" s="31">
        <f>IF(AQ36="2",BI36,0)</f>
        <v>0</v>
      </c>
      <c r="AH36" s="31">
        <f>IF(AQ36="0",BJ36,0)</f>
        <v>0</v>
      </c>
      <c r="AI36" s="12" t="s">
        <v>56</v>
      </c>
      <c r="AJ36" s="31">
        <f>IF(AN36=0,L36,0)</f>
        <v>0</v>
      </c>
      <c r="AK36" s="31">
        <f>IF(AN36=12,L36,0)</f>
        <v>0</v>
      </c>
      <c r="AL36" s="31">
        <f>IF(AN36=21,L36,0)</f>
        <v>35257.072000000007</v>
      </c>
      <c r="AN36" s="31">
        <v>21</v>
      </c>
      <c r="AO36" s="31">
        <f>H36*0</f>
        <v>0</v>
      </c>
      <c r="AP36" s="31">
        <f>H36*(1-0)</f>
        <v>265.49</v>
      </c>
      <c r="AQ36" s="32" t="s">
        <v>59</v>
      </c>
      <c r="AV36" s="31">
        <f>AW36+AX36</f>
        <v>35257.072000000007</v>
      </c>
      <c r="AW36" s="31">
        <f>G36*AO36</f>
        <v>0</v>
      </c>
      <c r="AX36" s="31">
        <f>G36*AP36</f>
        <v>35257.072000000007</v>
      </c>
      <c r="AY36" s="32" t="s">
        <v>86</v>
      </c>
      <c r="AZ36" s="32" t="s">
        <v>87</v>
      </c>
      <c r="BA36" s="12" t="s">
        <v>65</v>
      </c>
      <c r="BC36" s="31">
        <f>AW36+AX36</f>
        <v>35257.072000000007</v>
      </c>
      <c r="BD36" s="31">
        <f>H36/(100-BE36)*100</f>
        <v>265.49</v>
      </c>
      <c r="BE36" s="31">
        <v>0</v>
      </c>
      <c r="BF36" s="31">
        <f>O36</f>
        <v>29.216000000000001</v>
      </c>
      <c r="BH36" s="31">
        <f>G36*AO36</f>
        <v>0</v>
      </c>
      <c r="BI36" s="31">
        <f>G36*AP36</f>
        <v>35257.072000000007</v>
      </c>
      <c r="BJ36" s="31">
        <f>G36*H36</f>
        <v>35257.072000000007</v>
      </c>
      <c r="BK36" s="31"/>
      <c r="BL36" s="31">
        <v>11</v>
      </c>
      <c r="BW36" s="31" t="str">
        <f>I36</f>
        <v>21</v>
      </c>
      <c r="BX36" s="4" t="s">
        <v>112</v>
      </c>
    </row>
    <row r="37" spans="1:76">
      <c r="A37" s="34"/>
      <c r="D37" s="35" t="s">
        <v>113</v>
      </c>
      <c r="E37" s="35" t="s">
        <v>56</v>
      </c>
      <c r="G37" s="36">
        <v>132.80000000000001</v>
      </c>
      <c r="P37" s="37"/>
    </row>
    <row r="38" spans="1:76">
      <c r="A38" s="38" t="s">
        <v>56</v>
      </c>
      <c r="B38" s="39" t="s">
        <v>56</v>
      </c>
      <c r="C38" s="39" t="s">
        <v>114</v>
      </c>
      <c r="D38" s="76" t="s">
        <v>115</v>
      </c>
      <c r="E38" s="77"/>
      <c r="F38" s="40" t="s">
        <v>4</v>
      </c>
      <c r="G38" s="40" t="s">
        <v>4</v>
      </c>
      <c r="H38" s="40" t="s">
        <v>4</v>
      </c>
      <c r="I38" s="40" t="s">
        <v>4</v>
      </c>
      <c r="J38" s="1">
        <f>SUM(J39:J72)</f>
        <v>49854.756495957314</v>
      </c>
      <c r="K38" s="1">
        <f>SUM(K39:K72)</f>
        <v>4214088.7107736431</v>
      </c>
      <c r="L38" s="1">
        <f>SUM(L39:L72)</f>
        <v>4263943.4672695994</v>
      </c>
      <c r="M38" s="1">
        <f>SUM(M39:M72)</f>
        <v>5159371.5953962151</v>
      </c>
      <c r="N38" s="12" t="s">
        <v>56</v>
      </c>
      <c r="O38" s="1">
        <f>SUM(O39:O72)</f>
        <v>1.8853987255</v>
      </c>
      <c r="P38" s="41" t="s">
        <v>56</v>
      </c>
      <c r="AI38" s="12" t="s">
        <v>56</v>
      </c>
      <c r="AS38" s="1">
        <f>SUM(AJ39:AJ72)</f>
        <v>0</v>
      </c>
      <c r="AT38" s="1">
        <f>SUM(AK39:AK72)</f>
        <v>0</v>
      </c>
      <c r="AU38" s="1">
        <f>SUM(AL39:AL72)</f>
        <v>4263943.4672695994</v>
      </c>
    </row>
    <row r="39" spans="1:76">
      <c r="A39" s="2" t="s">
        <v>79</v>
      </c>
      <c r="B39" s="3" t="s">
        <v>56</v>
      </c>
      <c r="C39" s="3" t="s">
        <v>116</v>
      </c>
      <c r="D39" s="74" t="s">
        <v>117</v>
      </c>
      <c r="E39" s="75"/>
      <c r="F39" s="3" t="s">
        <v>118</v>
      </c>
      <c r="G39" s="31">
        <v>16.649999999999999</v>
      </c>
      <c r="H39" s="31">
        <v>1557</v>
      </c>
      <c r="I39" s="32" t="s">
        <v>63</v>
      </c>
      <c r="J39" s="31">
        <f>G39*AO39</f>
        <v>0</v>
      </c>
      <c r="K39" s="31">
        <f>G39*AP39</f>
        <v>25924.05</v>
      </c>
      <c r="L39" s="31">
        <f>G39*H39</f>
        <v>25924.05</v>
      </c>
      <c r="M39" s="31">
        <f>L39*(1+BW39/100)</f>
        <v>31368.100499999997</v>
      </c>
      <c r="N39" s="31">
        <v>0</v>
      </c>
      <c r="O39" s="31">
        <f>G39*N39</f>
        <v>0</v>
      </c>
      <c r="P39" s="33" t="s">
        <v>85</v>
      </c>
      <c r="Z39" s="31">
        <f>IF(AQ39="5",BJ39,0)</f>
        <v>0</v>
      </c>
      <c r="AB39" s="31">
        <f>IF(AQ39="1",BH39,0)</f>
        <v>0</v>
      </c>
      <c r="AC39" s="31">
        <f>IF(AQ39="1",BI39,0)</f>
        <v>25924.05</v>
      </c>
      <c r="AD39" s="31">
        <f>IF(AQ39="7",BH39,0)</f>
        <v>0</v>
      </c>
      <c r="AE39" s="31">
        <f>IF(AQ39="7",BI39,0)</f>
        <v>0</v>
      </c>
      <c r="AF39" s="31">
        <f>IF(AQ39="2",BH39,0)</f>
        <v>0</v>
      </c>
      <c r="AG39" s="31">
        <f>IF(AQ39="2",BI39,0)</f>
        <v>0</v>
      </c>
      <c r="AH39" s="31">
        <f>IF(AQ39="0",BJ39,0)</f>
        <v>0</v>
      </c>
      <c r="AI39" s="12" t="s">
        <v>56</v>
      </c>
      <c r="AJ39" s="31">
        <f>IF(AN39=0,L39,0)</f>
        <v>0</v>
      </c>
      <c r="AK39" s="31">
        <f>IF(AN39=12,L39,0)</f>
        <v>0</v>
      </c>
      <c r="AL39" s="31">
        <f>IF(AN39=21,L39,0)</f>
        <v>25924.05</v>
      </c>
      <c r="AN39" s="31">
        <v>21</v>
      </c>
      <c r="AO39" s="31">
        <f>H39*0</f>
        <v>0</v>
      </c>
      <c r="AP39" s="31">
        <f>H39*(1-0)</f>
        <v>1557</v>
      </c>
      <c r="AQ39" s="32" t="s">
        <v>59</v>
      </c>
      <c r="AV39" s="31">
        <f>AW39+AX39</f>
        <v>25924.05</v>
      </c>
      <c r="AW39" s="31">
        <f>G39*AO39</f>
        <v>0</v>
      </c>
      <c r="AX39" s="31">
        <f>G39*AP39</f>
        <v>25924.05</v>
      </c>
      <c r="AY39" s="32" t="s">
        <v>119</v>
      </c>
      <c r="AZ39" s="32" t="s">
        <v>87</v>
      </c>
      <c r="BA39" s="12" t="s">
        <v>65</v>
      </c>
      <c r="BC39" s="31">
        <f>AW39+AX39</f>
        <v>25924.05</v>
      </c>
      <c r="BD39" s="31">
        <f>H39/(100-BE39)*100</f>
        <v>1557</v>
      </c>
      <c r="BE39" s="31">
        <v>0</v>
      </c>
      <c r="BF39" s="31">
        <f>O39</f>
        <v>0</v>
      </c>
      <c r="BH39" s="31">
        <f>G39*AO39</f>
        <v>0</v>
      </c>
      <c r="BI39" s="31">
        <f>G39*AP39</f>
        <v>25924.05</v>
      </c>
      <c r="BJ39" s="31">
        <f>G39*H39</f>
        <v>25924.05</v>
      </c>
      <c r="BK39" s="31"/>
      <c r="BL39" s="31">
        <v>13</v>
      </c>
      <c r="BW39" s="31" t="str">
        <f>I39</f>
        <v>21</v>
      </c>
      <c r="BX39" s="4" t="s">
        <v>117</v>
      </c>
    </row>
    <row r="40" spans="1:76">
      <c r="A40" s="34"/>
      <c r="D40" s="35" t="s">
        <v>120</v>
      </c>
      <c r="E40" s="35" t="s">
        <v>56</v>
      </c>
      <c r="G40" s="36">
        <v>16.649999999999999</v>
      </c>
      <c r="P40" s="37"/>
    </row>
    <row r="41" spans="1:76">
      <c r="A41" s="2" t="s">
        <v>121</v>
      </c>
      <c r="B41" s="3" t="s">
        <v>56</v>
      </c>
      <c r="C41" s="3" t="s">
        <v>122</v>
      </c>
      <c r="D41" s="74" t="s">
        <v>123</v>
      </c>
      <c r="E41" s="75"/>
      <c r="F41" s="3" t="s">
        <v>118</v>
      </c>
      <c r="G41" s="31">
        <v>3.33</v>
      </c>
      <c r="H41" s="31">
        <v>90.99</v>
      </c>
      <c r="I41" s="32" t="s">
        <v>63</v>
      </c>
      <c r="J41" s="31">
        <f>G41*AO41</f>
        <v>0</v>
      </c>
      <c r="K41" s="31">
        <f>G41*AP41</f>
        <v>302.99669999999998</v>
      </c>
      <c r="L41" s="31">
        <f>G41*H41</f>
        <v>302.99669999999998</v>
      </c>
      <c r="M41" s="31">
        <f>L41*(1+BW41/100)</f>
        <v>366.62600699999996</v>
      </c>
      <c r="N41" s="31">
        <v>0</v>
      </c>
      <c r="O41" s="31">
        <f>G41*N41</f>
        <v>0</v>
      </c>
      <c r="P41" s="33" t="s">
        <v>85</v>
      </c>
      <c r="Z41" s="31">
        <f>IF(AQ41="5",BJ41,0)</f>
        <v>0</v>
      </c>
      <c r="AB41" s="31">
        <f>IF(AQ41="1",BH41,0)</f>
        <v>0</v>
      </c>
      <c r="AC41" s="31">
        <f>IF(AQ41="1",BI41,0)</f>
        <v>302.99669999999998</v>
      </c>
      <c r="AD41" s="31">
        <f>IF(AQ41="7",BH41,0)</f>
        <v>0</v>
      </c>
      <c r="AE41" s="31">
        <f>IF(AQ41="7",BI41,0)</f>
        <v>0</v>
      </c>
      <c r="AF41" s="31">
        <f>IF(AQ41="2",BH41,0)</f>
        <v>0</v>
      </c>
      <c r="AG41" s="31">
        <f>IF(AQ41="2",BI41,0)</f>
        <v>0</v>
      </c>
      <c r="AH41" s="31">
        <f>IF(AQ41="0",BJ41,0)</f>
        <v>0</v>
      </c>
      <c r="AI41" s="12" t="s">
        <v>56</v>
      </c>
      <c r="AJ41" s="31">
        <f>IF(AN41=0,L41,0)</f>
        <v>0</v>
      </c>
      <c r="AK41" s="31">
        <f>IF(AN41=12,L41,0)</f>
        <v>0</v>
      </c>
      <c r="AL41" s="31">
        <f>IF(AN41=21,L41,0)</f>
        <v>302.99669999999998</v>
      </c>
      <c r="AN41" s="31">
        <v>21</v>
      </c>
      <c r="AO41" s="31">
        <f>H41*0</f>
        <v>0</v>
      </c>
      <c r="AP41" s="31">
        <f>H41*(1-0)</f>
        <v>90.99</v>
      </c>
      <c r="AQ41" s="32" t="s">
        <v>59</v>
      </c>
      <c r="AV41" s="31">
        <f>AW41+AX41</f>
        <v>302.99669999999998</v>
      </c>
      <c r="AW41" s="31">
        <f>G41*AO41</f>
        <v>0</v>
      </c>
      <c r="AX41" s="31">
        <f>G41*AP41</f>
        <v>302.99669999999998</v>
      </c>
      <c r="AY41" s="32" t="s">
        <v>119</v>
      </c>
      <c r="AZ41" s="32" t="s">
        <v>87</v>
      </c>
      <c r="BA41" s="12" t="s">
        <v>65</v>
      </c>
      <c r="BC41" s="31">
        <f>AW41+AX41</f>
        <v>302.99669999999998</v>
      </c>
      <c r="BD41" s="31">
        <f>H41/(100-BE41)*100</f>
        <v>90.99</v>
      </c>
      <c r="BE41" s="31">
        <v>0</v>
      </c>
      <c r="BF41" s="31">
        <f>O41</f>
        <v>0</v>
      </c>
      <c r="BH41" s="31">
        <f>G41*AO41</f>
        <v>0</v>
      </c>
      <c r="BI41" s="31">
        <f>G41*AP41</f>
        <v>302.99669999999998</v>
      </c>
      <c r="BJ41" s="31">
        <f>G41*H41</f>
        <v>302.99669999999998</v>
      </c>
      <c r="BK41" s="31"/>
      <c r="BL41" s="31">
        <v>13</v>
      </c>
      <c r="BW41" s="31" t="str">
        <f>I41</f>
        <v>21</v>
      </c>
      <c r="BX41" s="4" t="s">
        <v>123</v>
      </c>
    </row>
    <row r="42" spans="1:76">
      <c r="A42" s="34"/>
      <c r="D42" s="35" t="s">
        <v>124</v>
      </c>
      <c r="E42" s="35" t="s">
        <v>56</v>
      </c>
      <c r="G42" s="36">
        <v>3.33</v>
      </c>
      <c r="P42" s="37"/>
    </row>
    <row r="43" spans="1:76">
      <c r="A43" s="2" t="s">
        <v>114</v>
      </c>
      <c r="B43" s="3" t="s">
        <v>56</v>
      </c>
      <c r="C43" s="3" t="s">
        <v>125</v>
      </c>
      <c r="D43" s="74" t="s">
        <v>126</v>
      </c>
      <c r="E43" s="75"/>
      <c r="F43" s="3" t="s">
        <v>118</v>
      </c>
      <c r="G43" s="31">
        <v>802.29732999999999</v>
      </c>
      <c r="H43" s="31">
        <v>1554.01</v>
      </c>
      <c r="I43" s="32" t="s">
        <v>63</v>
      </c>
      <c r="J43" s="31">
        <f>G43*AO43</f>
        <v>49854.756495957314</v>
      </c>
      <c r="K43" s="31">
        <f>G43*AP43</f>
        <v>1196923.3172973427</v>
      </c>
      <c r="L43" s="31">
        <f>G43*H43</f>
        <v>1246778.0737933</v>
      </c>
      <c r="M43" s="31">
        <f>L43*(1+BW43/100)</f>
        <v>1508601.4692898928</v>
      </c>
      <c r="N43" s="31">
        <v>2.3500000000000001E-3</v>
      </c>
      <c r="O43" s="31">
        <f>G43*N43</f>
        <v>1.8853987255</v>
      </c>
      <c r="P43" s="33" t="s">
        <v>85</v>
      </c>
      <c r="Z43" s="31">
        <f>IF(AQ43="5",BJ43,0)</f>
        <v>0</v>
      </c>
      <c r="AB43" s="31">
        <f>IF(AQ43="1",BH43,0)</f>
        <v>49854.756495957314</v>
      </c>
      <c r="AC43" s="31">
        <f>IF(AQ43="1",BI43,0)</f>
        <v>1196923.3172973427</v>
      </c>
      <c r="AD43" s="31">
        <f>IF(AQ43="7",BH43,0)</f>
        <v>0</v>
      </c>
      <c r="AE43" s="31">
        <f>IF(AQ43="7",BI43,0)</f>
        <v>0</v>
      </c>
      <c r="AF43" s="31">
        <f>IF(AQ43="2",BH43,0)</f>
        <v>0</v>
      </c>
      <c r="AG43" s="31">
        <f>IF(AQ43="2",BI43,0)</f>
        <v>0</v>
      </c>
      <c r="AH43" s="31">
        <f>IF(AQ43="0",BJ43,0)</f>
        <v>0</v>
      </c>
      <c r="AI43" s="12" t="s">
        <v>56</v>
      </c>
      <c r="AJ43" s="31">
        <f>IF(AN43=0,L43,0)</f>
        <v>0</v>
      </c>
      <c r="AK43" s="31">
        <f>IF(AN43=12,L43,0)</f>
        <v>0</v>
      </c>
      <c r="AL43" s="31">
        <f>IF(AN43=21,L43,0)</f>
        <v>1246778.0737933</v>
      </c>
      <c r="AN43" s="31">
        <v>21</v>
      </c>
      <c r="AO43" s="31">
        <f>H43*0.039986873</f>
        <v>62.140000510729998</v>
      </c>
      <c r="AP43" s="31">
        <f>H43*(1-0.039986873)</f>
        <v>1491.86999948927</v>
      </c>
      <c r="AQ43" s="32" t="s">
        <v>59</v>
      </c>
      <c r="AV43" s="31">
        <f>AW43+AX43</f>
        <v>1246778.0737933</v>
      </c>
      <c r="AW43" s="31">
        <f>G43*AO43</f>
        <v>49854.756495957314</v>
      </c>
      <c r="AX43" s="31">
        <f>G43*AP43</f>
        <v>1196923.3172973427</v>
      </c>
      <c r="AY43" s="32" t="s">
        <v>119</v>
      </c>
      <c r="AZ43" s="32" t="s">
        <v>87</v>
      </c>
      <c r="BA43" s="12" t="s">
        <v>65</v>
      </c>
      <c r="BC43" s="31">
        <f>AW43+AX43</f>
        <v>1246778.0737933</v>
      </c>
      <c r="BD43" s="31">
        <f>H43/(100-BE43)*100</f>
        <v>1554.01</v>
      </c>
      <c r="BE43" s="31">
        <v>0</v>
      </c>
      <c r="BF43" s="31">
        <f>O43</f>
        <v>1.8853987255</v>
      </c>
      <c r="BH43" s="31">
        <f>G43*AO43</f>
        <v>49854.756495957314</v>
      </c>
      <c r="BI43" s="31">
        <f>G43*AP43</f>
        <v>1196923.3172973427</v>
      </c>
      <c r="BJ43" s="31">
        <f>G43*H43</f>
        <v>1246778.0737933</v>
      </c>
      <c r="BK43" s="31"/>
      <c r="BL43" s="31">
        <v>13</v>
      </c>
      <c r="BW43" s="31" t="str">
        <f>I43</f>
        <v>21</v>
      </c>
      <c r="BX43" s="4" t="s">
        <v>126</v>
      </c>
    </row>
    <row r="44" spans="1:76">
      <c r="A44" s="34"/>
      <c r="D44" s="35" t="s">
        <v>127</v>
      </c>
      <c r="E44" s="35" t="s">
        <v>56</v>
      </c>
      <c r="G44" s="36">
        <v>197.70750000000001</v>
      </c>
      <c r="P44" s="37"/>
    </row>
    <row r="45" spans="1:76">
      <c r="A45" s="34"/>
      <c r="D45" s="35" t="s">
        <v>128</v>
      </c>
      <c r="E45" s="35" t="s">
        <v>56</v>
      </c>
      <c r="G45" s="36">
        <v>7.9749999999999996</v>
      </c>
      <c r="P45" s="37"/>
    </row>
    <row r="46" spans="1:76">
      <c r="A46" s="34"/>
      <c r="D46" s="35" t="s">
        <v>129</v>
      </c>
      <c r="E46" s="35" t="s">
        <v>56</v>
      </c>
      <c r="G46" s="36">
        <v>56.695</v>
      </c>
      <c r="P46" s="37"/>
    </row>
    <row r="47" spans="1:76">
      <c r="A47" s="34"/>
      <c r="D47" s="35" t="s">
        <v>130</v>
      </c>
      <c r="E47" s="35" t="s">
        <v>56</v>
      </c>
      <c r="G47" s="36">
        <v>0</v>
      </c>
      <c r="P47" s="37"/>
    </row>
    <row r="48" spans="1:76">
      <c r="A48" s="34"/>
      <c r="D48" s="35" t="s">
        <v>131</v>
      </c>
      <c r="E48" s="35" t="s">
        <v>56</v>
      </c>
      <c r="G48" s="36">
        <v>37.094630000000002</v>
      </c>
      <c r="P48" s="37"/>
    </row>
    <row r="49" spans="1:76">
      <c r="A49" s="34"/>
      <c r="D49" s="35" t="s">
        <v>132</v>
      </c>
      <c r="E49" s="35" t="s">
        <v>56</v>
      </c>
      <c r="G49" s="36">
        <v>138.59100000000001</v>
      </c>
      <c r="P49" s="37"/>
    </row>
    <row r="50" spans="1:76">
      <c r="A50" s="34"/>
      <c r="D50" s="35" t="s">
        <v>133</v>
      </c>
      <c r="E50" s="35" t="s">
        <v>56</v>
      </c>
      <c r="G50" s="36">
        <v>0</v>
      </c>
      <c r="P50" s="37"/>
    </row>
    <row r="51" spans="1:76">
      <c r="A51" s="34"/>
      <c r="D51" s="35" t="s">
        <v>134</v>
      </c>
      <c r="E51" s="35" t="s">
        <v>56</v>
      </c>
      <c r="G51" s="36">
        <v>364.23419999999999</v>
      </c>
      <c r="P51" s="37"/>
    </row>
    <row r="52" spans="1:76">
      <c r="A52" s="34"/>
      <c r="D52" s="35" t="s">
        <v>135</v>
      </c>
      <c r="E52" s="35" t="s">
        <v>56</v>
      </c>
      <c r="G52" s="36">
        <v>0</v>
      </c>
      <c r="P52" s="37"/>
    </row>
    <row r="53" spans="1:76">
      <c r="A53" s="2" t="s">
        <v>136</v>
      </c>
      <c r="B53" s="3" t="s">
        <v>56</v>
      </c>
      <c r="C53" s="3" t="s">
        <v>137</v>
      </c>
      <c r="D53" s="74" t="s">
        <v>138</v>
      </c>
      <c r="E53" s="75"/>
      <c r="F53" s="3" t="s">
        <v>118</v>
      </c>
      <c r="G53" s="31">
        <v>160.45947000000001</v>
      </c>
      <c r="H53" s="31">
        <v>89.09</v>
      </c>
      <c r="I53" s="32" t="s">
        <v>63</v>
      </c>
      <c r="J53" s="31">
        <f>G53*AO53</f>
        <v>0</v>
      </c>
      <c r="K53" s="31">
        <f>G53*AP53</f>
        <v>14295.334182300001</v>
      </c>
      <c r="L53" s="31">
        <f>G53*H53</f>
        <v>14295.334182300001</v>
      </c>
      <c r="M53" s="31">
        <f>L53*(1+BW53/100)</f>
        <v>17297.354360583002</v>
      </c>
      <c r="N53" s="31">
        <v>0</v>
      </c>
      <c r="O53" s="31">
        <f>G53*N53</f>
        <v>0</v>
      </c>
      <c r="P53" s="33" t="s">
        <v>85</v>
      </c>
      <c r="Z53" s="31">
        <f>IF(AQ53="5",BJ53,0)</f>
        <v>0</v>
      </c>
      <c r="AB53" s="31">
        <f>IF(AQ53="1",BH53,0)</f>
        <v>0</v>
      </c>
      <c r="AC53" s="31">
        <f>IF(AQ53="1",BI53,0)</f>
        <v>14295.334182300001</v>
      </c>
      <c r="AD53" s="31">
        <f>IF(AQ53="7",BH53,0)</f>
        <v>0</v>
      </c>
      <c r="AE53" s="31">
        <f>IF(AQ53="7",BI53,0)</f>
        <v>0</v>
      </c>
      <c r="AF53" s="31">
        <f>IF(AQ53="2",BH53,0)</f>
        <v>0</v>
      </c>
      <c r="AG53" s="31">
        <f>IF(AQ53="2",BI53,0)</f>
        <v>0</v>
      </c>
      <c r="AH53" s="31">
        <f>IF(AQ53="0",BJ53,0)</f>
        <v>0</v>
      </c>
      <c r="AI53" s="12" t="s">
        <v>56</v>
      </c>
      <c r="AJ53" s="31">
        <f>IF(AN53=0,L53,0)</f>
        <v>0</v>
      </c>
      <c r="AK53" s="31">
        <f>IF(AN53=12,L53,0)</f>
        <v>0</v>
      </c>
      <c r="AL53" s="31">
        <f>IF(AN53=21,L53,0)</f>
        <v>14295.334182300001</v>
      </c>
      <c r="AN53" s="31">
        <v>21</v>
      </c>
      <c r="AO53" s="31">
        <f>H53*0</f>
        <v>0</v>
      </c>
      <c r="AP53" s="31">
        <f>H53*(1-0)</f>
        <v>89.09</v>
      </c>
      <c r="AQ53" s="32" t="s">
        <v>59</v>
      </c>
      <c r="AV53" s="31">
        <f>AW53+AX53</f>
        <v>14295.334182300001</v>
      </c>
      <c r="AW53" s="31">
        <f>G53*AO53</f>
        <v>0</v>
      </c>
      <c r="AX53" s="31">
        <f>G53*AP53</f>
        <v>14295.334182300001</v>
      </c>
      <c r="AY53" s="32" t="s">
        <v>119</v>
      </c>
      <c r="AZ53" s="32" t="s">
        <v>87</v>
      </c>
      <c r="BA53" s="12" t="s">
        <v>65</v>
      </c>
      <c r="BC53" s="31">
        <f>AW53+AX53</f>
        <v>14295.334182300001</v>
      </c>
      <c r="BD53" s="31">
        <f>H53/(100-BE53)*100</f>
        <v>89.09</v>
      </c>
      <c r="BE53" s="31">
        <v>0</v>
      </c>
      <c r="BF53" s="31">
        <f>O53</f>
        <v>0</v>
      </c>
      <c r="BH53" s="31">
        <f>G53*AO53</f>
        <v>0</v>
      </c>
      <c r="BI53" s="31">
        <f>G53*AP53</f>
        <v>14295.334182300001</v>
      </c>
      <c r="BJ53" s="31">
        <f>G53*H53</f>
        <v>14295.334182300001</v>
      </c>
      <c r="BK53" s="31"/>
      <c r="BL53" s="31">
        <v>13</v>
      </c>
      <c r="BW53" s="31" t="str">
        <f>I53</f>
        <v>21</v>
      </c>
      <c r="BX53" s="4" t="s">
        <v>138</v>
      </c>
    </row>
    <row r="54" spans="1:76">
      <c r="A54" s="34"/>
      <c r="D54" s="35" t="s">
        <v>139</v>
      </c>
      <c r="E54" s="35" t="s">
        <v>56</v>
      </c>
      <c r="G54" s="36">
        <v>160.45947000000001</v>
      </c>
      <c r="P54" s="37"/>
    </row>
    <row r="55" spans="1:76">
      <c r="A55" s="2" t="s">
        <v>140</v>
      </c>
      <c r="B55" s="3" t="s">
        <v>56</v>
      </c>
      <c r="C55" s="3" t="s">
        <v>141</v>
      </c>
      <c r="D55" s="74" t="s">
        <v>142</v>
      </c>
      <c r="E55" s="75"/>
      <c r="F55" s="3" t="s">
        <v>84</v>
      </c>
      <c r="G55" s="31">
        <v>982.08</v>
      </c>
      <c r="H55" s="31">
        <v>150</v>
      </c>
      <c r="I55" s="32" t="s">
        <v>63</v>
      </c>
      <c r="J55" s="31">
        <f>G55*AO55</f>
        <v>0</v>
      </c>
      <c r="K55" s="31">
        <f>G55*AP55</f>
        <v>147312</v>
      </c>
      <c r="L55" s="31">
        <f>G55*H55</f>
        <v>147312</v>
      </c>
      <c r="M55" s="31">
        <f>L55*(1+BW55/100)</f>
        <v>178247.52</v>
      </c>
      <c r="N55" s="31">
        <v>0</v>
      </c>
      <c r="O55" s="31">
        <f>G55*N55</f>
        <v>0</v>
      </c>
      <c r="P55" s="33" t="s">
        <v>85</v>
      </c>
      <c r="Z55" s="31">
        <f>IF(AQ55="5",BJ55,0)</f>
        <v>0</v>
      </c>
      <c r="AB55" s="31">
        <f>IF(AQ55="1",BH55,0)</f>
        <v>0</v>
      </c>
      <c r="AC55" s="31">
        <f>IF(AQ55="1",BI55,0)</f>
        <v>147312</v>
      </c>
      <c r="AD55" s="31">
        <f>IF(AQ55="7",BH55,0)</f>
        <v>0</v>
      </c>
      <c r="AE55" s="31">
        <f>IF(AQ55="7",BI55,0)</f>
        <v>0</v>
      </c>
      <c r="AF55" s="31">
        <f>IF(AQ55="2",BH55,0)</f>
        <v>0</v>
      </c>
      <c r="AG55" s="31">
        <f>IF(AQ55="2",BI55,0)</f>
        <v>0</v>
      </c>
      <c r="AH55" s="31">
        <f>IF(AQ55="0",BJ55,0)</f>
        <v>0</v>
      </c>
      <c r="AI55" s="12" t="s">
        <v>56</v>
      </c>
      <c r="AJ55" s="31">
        <f>IF(AN55=0,L55,0)</f>
        <v>0</v>
      </c>
      <c r="AK55" s="31">
        <f>IF(AN55=12,L55,0)</f>
        <v>0</v>
      </c>
      <c r="AL55" s="31">
        <f>IF(AN55=21,L55,0)</f>
        <v>147312</v>
      </c>
      <c r="AN55" s="31">
        <v>21</v>
      </c>
      <c r="AO55" s="31">
        <f>H55*0</f>
        <v>0</v>
      </c>
      <c r="AP55" s="31">
        <f>H55*(1-0)</f>
        <v>150</v>
      </c>
      <c r="AQ55" s="32" t="s">
        <v>59</v>
      </c>
      <c r="AV55" s="31">
        <f>AW55+AX55</f>
        <v>147312</v>
      </c>
      <c r="AW55" s="31">
        <f>G55*AO55</f>
        <v>0</v>
      </c>
      <c r="AX55" s="31">
        <f>G55*AP55</f>
        <v>147312</v>
      </c>
      <c r="AY55" s="32" t="s">
        <v>119</v>
      </c>
      <c r="AZ55" s="32" t="s">
        <v>87</v>
      </c>
      <c r="BA55" s="12" t="s">
        <v>65</v>
      </c>
      <c r="BC55" s="31">
        <f>AW55+AX55</f>
        <v>147312</v>
      </c>
      <c r="BD55" s="31">
        <f>H55/(100-BE55)*100</f>
        <v>150</v>
      </c>
      <c r="BE55" s="31">
        <v>0</v>
      </c>
      <c r="BF55" s="31">
        <f>O55</f>
        <v>0</v>
      </c>
      <c r="BH55" s="31">
        <f>G55*AO55</f>
        <v>0</v>
      </c>
      <c r="BI55" s="31">
        <f>G55*AP55</f>
        <v>147312</v>
      </c>
      <c r="BJ55" s="31">
        <f>G55*H55</f>
        <v>147312</v>
      </c>
      <c r="BK55" s="31"/>
      <c r="BL55" s="31">
        <v>13</v>
      </c>
      <c r="BW55" s="31" t="str">
        <f>I55</f>
        <v>21</v>
      </c>
      <c r="BX55" s="4" t="s">
        <v>142</v>
      </c>
    </row>
    <row r="56" spans="1:76">
      <c r="A56" s="34"/>
      <c r="D56" s="35" t="s">
        <v>143</v>
      </c>
      <c r="E56" s="35" t="s">
        <v>56</v>
      </c>
      <c r="G56" s="36">
        <v>261.2</v>
      </c>
      <c r="P56" s="37"/>
    </row>
    <row r="57" spans="1:76">
      <c r="A57" s="34"/>
      <c r="D57" s="35" t="s">
        <v>144</v>
      </c>
      <c r="E57" s="35" t="s">
        <v>56</v>
      </c>
      <c r="G57" s="36">
        <v>33</v>
      </c>
      <c r="P57" s="37"/>
    </row>
    <row r="58" spans="1:76">
      <c r="A58" s="34"/>
      <c r="D58" s="35" t="s">
        <v>145</v>
      </c>
      <c r="E58" s="35" t="s">
        <v>56</v>
      </c>
      <c r="G58" s="36">
        <v>72.95</v>
      </c>
      <c r="P58" s="37"/>
    </row>
    <row r="59" spans="1:76">
      <c r="A59" s="34"/>
      <c r="D59" s="35" t="s">
        <v>146</v>
      </c>
      <c r="E59" s="35" t="s">
        <v>56</v>
      </c>
      <c r="G59" s="36">
        <v>41.75</v>
      </c>
      <c r="P59" s="37"/>
    </row>
    <row r="60" spans="1:76">
      <c r="A60" s="34"/>
      <c r="D60" s="35" t="s">
        <v>147</v>
      </c>
      <c r="E60" s="35" t="s">
        <v>56</v>
      </c>
      <c r="G60" s="36">
        <v>573.17999999999995</v>
      </c>
      <c r="P60" s="37"/>
    </row>
    <row r="61" spans="1:76">
      <c r="A61" s="2" t="s">
        <v>148</v>
      </c>
      <c r="B61" s="3" t="s">
        <v>56</v>
      </c>
      <c r="C61" s="3" t="s">
        <v>149</v>
      </c>
      <c r="D61" s="74" t="s">
        <v>150</v>
      </c>
      <c r="E61" s="75"/>
      <c r="F61" s="3" t="s">
        <v>118</v>
      </c>
      <c r="G61" s="31">
        <v>1070.0797</v>
      </c>
      <c r="H61" s="31">
        <v>2630.02</v>
      </c>
      <c r="I61" s="32" t="s">
        <v>63</v>
      </c>
      <c r="J61" s="31">
        <f>G61*AO61</f>
        <v>0</v>
      </c>
      <c r="K61" s="31">
        <f>G61*AP61</f>
        <v>2814331.012594</v>
      </c>
      <c r="L61" s="31">
        <f>G61*H61</f>
        <v>2814331.012594</v>
      </c>
      <c r="M61" s="31">
        <f>L61*(1+BW61/100)</f>
        <v>3405340.5252387398</v>
      </c>
      <c r="N61" s="31">
        <v>0</v>
      </c>
      <c r="O61" s="31">
        <f>G61*N61</f>
        <v>0</v>
      </c>
      <c r="P61" s="33" t="s">
        <v>85</v>
      </c>
      <c r="Z61" s="31">
        <f>IF(AQ61="5",BJ61,0)</f>
        <v>0</v>
      </c>
      <c r="AB61" s="31">
        <f>IF(AQ61="1",BH61,0)</f>
        <v>0</v>
      </c>
      <c r="AC61" s="31">
        <f>IF(AQ61="1",BI61,0)</f>
        <v>2814331.012594</v>
      </c>
      <c r="AD61" s="31">
        <f>IF(AQ61="7",BH61,0)</f>
        <v>0</v>
      </c>
      <c r="AE61" s="31">
        <f>IF(AQ61="7",BI61,0)</f>
        <v>0</v>
      </c>
      <c r="AF61" s="31">
        <f>IF(AQ61="2",BH61,0)</f>
        <v>0</v>
      </c>
      <c r="AG61" s="31">
        <f>IF(AQ61="2",BI61,0)</f>
        <v>0</v>
      </c>
      <c r="AH61" s="31">
        <f>IF(AQ61="0",BJ61,0)</f>
        <v>0</v>
      </c>
      <c r="AI61" s="12" t="s">
        <v>56</v>
      </c>
      <c r="AJ61" s="31">
        <f>IF(AN61=0,L61,0)</f>
        <v>0</v>
      </c>
      <c r="AK61" s="31">
        <f>IF(AN61=12,L61,0)</f>
        <v>0</v>
      </c>
      <c r="AL61" s="31">
        <f>IF(AN61=21,L61,0)</f>
        <v>2814331.012594</v>
      </c>
      <c r="AN61" s="31">
        <v>21</v>
      </c>
      <c r="AO61" s="31">
        <f>H61*0</f>
        <v>0</v>
      </c>
      <c r="AP61" s="31">
        <f>H61*(1-0)</f>
        <v>2630.02</v>
      </c>
      <c r="AQ61" s="32" t="s">
        <v>59</v>
      </c>
      <c r="AV61" s="31">
        <f>AW61+AX61</f>
        <v>2814331.012594</v>
      </c>
      <c r="AW61" s="31">
        <f>G61*AO61</f>
        <v>0</v>
      </c>
      <c r="AX61" s="31">
        <f>G61*AP61</f>
        <v>2814331.012594</v>
      </c>
      <c r="AY61" s="32" t="s">
        <v>119</v>
      </c>
      <c r="AZ61" s="32" t="s">
        <v>87</v>
      </c>
      <c r="BA61" s="12" t="s">
        <v>65</v>
      </c>
      <c r="BC61" s="31">
        <f>AW61+AX61</f>
        <v>2814331.012594</v>
      </c>
      <c r="BD61" s="31">
        <f>H61/(100-BE61)*100</f>
        <v>2630.02</v>
      </c>
      <c r="BE61" s="31">
        <v>0</v>
      </c>
      <c r="BF61" s="31">
        <f>O61</f>
        <v>0</v>
      </c>
      <c r="BH61" s="31">
        <f>G61*AO61</f>
        <v>0</v>
      </c>
      <c r="BI61" s="31">
        <f>G61*AP61</f>
        <v>2814331.012594</v>
      </c>
      <c r="BJ61" s="31">
        <f>G61*H61</f>
        <v>2814331.012594</v>
      </c>
      <c r="BK61" s="31"/>
      <c r="BL61" s="31">
        <v>13</v>
      </c>
      <c r="BW61" s="31" t="str">
        <f>I61</f>
        <v>21</v>
      </c>
      <c r="BX61" s="4" t="s">
        <v>150</v>
      </c>
    </row>
    <row r="62" spans="1:76">
      <c r="A62" s="34"/>
      <c r="D62" s="35" t="s">
        <v>151</v>
      </c>
      <c r="E62" s="35" t="s">
        <v>56</v>
      </c>
      <c r="G62" s="36">
        <v>182.7</v>
      </c>
      <c r="P62" s="37"/>
    </row>
    <row r="63" spans="1:76">
      <c r="A63" s="34"/>
      <c r="D63" s="35" t="s">
        <v>152</v>
      </c>
      <c r="E63" s="35" t="s">
        <v>56</v>
      </c>
      <c r="G63" s="36">
        <v>40.164999999999999</v>
      </c>
      <c r="P63" s="37"/>
    </row>
    <row r="64" spans="1:76">
      <c r="A64" s="34"/>
      <c r="D64" s="35" t="s">
        <v>153</v>
      </c>
      <c r="E64" s="35" t="s">
        <v>56</v>
      </c>
      <c r="G64" s="36">
        <v>50.314999999999998</v>
      </c>
      <c r="P64" s="37"/>
    </row>
    <row r="65" spans="1:76">
      <c r="A65" s="34"/>
      <c r="D65" s="35" t="s">
        <v>130</v>
      </c>
      <c r="E65" s="35" t="s">
        <v>56</v>
      </c>
      <c r="G65" s="36">
        <v>0</v>
      </c>
      <c r="P65" s="37"/>
    </row>
    <row r="66" spans="1:76">
      <c r="A66" s="34"/>
      <c r="D66" s="35" t="s">
        <v>154</v>
      </c>
      <c r="E66" s="35" t="s">
        <v>56</v>
      </c>
      <c r="G66" s="36">
        <v>44.435250000000003</v>
      </c>
      <c r="P66" s="37"/>
    </row>
    <row r="67" spans="1:76">
      <c r="A67" s="34"/>
      <c r="D67" s="35" t="s">
        <v>155</v>
      </c>
      <c r="E67" s="35" t="s">
        <v>56</v>
      </c>
      <c r="G67" s="36">
        <v>507.38400000000001</v>
      </c>
      <c r="P67" s="37"/>
    </row>
    <row r="68" spans="1:76">
      <c r="A68" s="34"/>
      <c r="D68" s="35" t="s">
        <v>133</v>
      </c>
      <c r="E68" s="35" t="s">
        <v>56</v>
      </c>
      <c r="G68" s="36">
        <v>0</v>
      </c>
      <c r="P68" s="37"/>
    </row>
    <row r="69" spans="1:76">
      <c r="A69" s="34"/>
      <c r="D69" s="35" t="s">
        <v>156</v>
      </c>
      <c r="E69" s="35" t="s">
        <v>56</v>
      </c>
      <c r="G69" s="36">
        <v>245.08045000000001</v>
      </c>
      <c r="P69" s="37"/>
    </row>
    <row r="70" spans="1:76">
      <c r="A70" s="34"/>
      <c r="D70" s="35" t="s">
        <v>135</v>
      </c>
      <c r="E70" s="35" t="s">
        <v>56</v>
      </c>
      <c r="G70" s="36">
        <v>0</v>
      </c>
      <c r="P70" s="37"/>
    </row>
    <row r="71" spans="1:76">
      <c r="A71" s="34"/>
      <c r="D71" s="35" t="s">
        <v>157</v>
      </c>
      <c r="E71" s="35" t="s">
        <v>56</v>
      </c>
      <c r="G71" s="36">
        <v>0</v>
      </c>
      <c r="P71" s="37"/>
    </row>
    <row r="72" spans="1:76">
      <c r="A72" s="2" t="s">
        <v>158</v>
      </c>
      <c r="B72" s="3" t="s">
        <v>56</v>
      </c>
      <c r="C72" s="3" t="s">
        <v>159</v>
      </c>
      <c r="D72" s="74" t="s">
        <v>160</v>
      </c>
      <c r="E72" s="75"/>
      <c r="F72" s="3" t="s">
        <v>77</v>
      </c>
      <c r="G72" s="31">
        <v>3</v>
      </c>
      <c r="H72" s="31">
        <v>5000</v>
      </c>
      <c r="I72" s="32" t="s">
        <v>63</v>
      </c>
      <c r="J72" s="31">
        <f>G72*AO72</f>
        <v>0</v>
      </c>
      <c r="K72" s="31">
        <f>G72*AP72</f>
        <v>15000</v>
      </c>
      <c r="L72" s="31">
        <f>G72*H72</f>
        <v>15000</v>
      </c>
      <c r="M72" s="31">
        <f>L72*(1+BW72/100)</f>
        <v>18150</v>
      </c>
      <c r="N72" s="31">
        <v>0</v>
      </c>
      <c r="O72" s="31">
        <f>G72*N72</f>
        <v>0</v>
      </c>
      <c r="P72" s="33" t="s">
        <v>56</v>
      </c>
      <c r="Z72" s="31">
        <f>IF(AQ72="5",BJ72,0)</f>
        <v>0</v>
      </c>
      <c r="AB72" s="31">
        <f>IF(AQ72="1",BH72,0)</f>
        <v>0</v>
      </c>
      <c r="AC72" s="31">
        <f>IF(AQ72="1",BI72,0)</f>
        <v>15000</v>
      </c>
      <c r="AD72" s="31">
        <f>IF(AQ72="7",BH72,0)</f>
        <v>0</v>
      </c>
      <c r="AE72" s="31">
        <f>IF(AQ72="7",BI72,0)</f>
        <v>0</v>
      </c>
      <c r="AF72" s="31">
        <f>IF(AQ72="2",BH72,0)</f>
        <v>0</v>
      </c>
      <c r="AG72" s="31">
        <f>IF(AQ72="2",BI72,0)</f>
        <v>0</v>
      </c>
      <c r="AH72" s="31">
        <f>IF(AQ72="0",BJ72,0)</f>
        <v>0</v>
      </c>
      <c r="AI72" s="12" t="s">
        <v>56</v>
      </c>
      <c r="AJ72" s="31">
        <f>IF(AN72=0,L72,0)</f>
        <v>0</v>
      </c>
      <c r="AK72" s="31">
        <f>IF(AN72=12,L72,0)</f>
        <v>0</v>
      </c>
      <c r="AL72" s="31">
        <f>IF(AN72=21,L72,0)</f>
        <v>15000</v>
      </c>
      <c r="AN72" s="31">
        <v>21</v>
      </c>
      <c r="AO72" s="31">
        <f>H72*0</f>
        <v>0</v>
      </c>
      <c r="AP72" s="31">
        <f>H72*(1-0)</f>
        <v>5000</v>
      </c>
      <c r="AQ72" s="32" t="s">
        <v>59</v>
      </c>
      <c r="AV72" s="31">
        <f>AW72+AX72</f>
        <v>15000</v>
      </c>
      <c r="AW72" s="31">
        <f>G72*AO72</f>
        <v>0</v>
      </c>
      <c r="AX72" s="31">
        <f>G72*AP72</f>
        <v>15000</v>
      </c>
      <c r="AY72" s="32" t="s">
        <v>119</v>
      </c>
      <c r="AZ72" s="32" t="s">
        <v>87</v>
      </c>
      <c r="BA72" s="12" t="s">
        <v>65</v>
      </c>
      <c r="BC72" s="31">
        <f>AW72+AX72</f>
        <v>15000</v>
      </c>
      <c r="BD72" s="31">
        <f>H72/(100-BE72)*100</f>
        <v>5000</v>
      </c>
      <c r="BE72" s="31">
        <v>0</v>
      </c>
      <c r="BF72" s="31">
        <f>O72</f>
        <v>0</v>
      </c>
      <c r="BH72" s="31">
        <f>G72*AO72</f>
        <v>0</v>
      </c>
      <c r="BI72" s="31">
        <f>G72*AP72</f>
        <v>15000</v>
      </c>
      <c r="BJ72" s="31">
        <f>G72*H72</f>
        <v>15000</v>
      </c>
      <c r="BK72" s="31"/>
      <c r="BL72" s="31">
        <v>13</v>
      </c>
      <c r="BW72" s="31" t="str">
        <f>I72</f>
        <v>21</v>
      </c>
      <c r="BX72" s="4" t="s">
        <v>160</v>
      </c>
    </row>
    <row r="73" spans="1:76">
      <c r="A73" s="34"/>
      <c r="D73" s="35" t="s">
        <v>161</v>
      </c>
      <c r="E73" s="35" t="s">
        <v>56</v>
      </c>
      <c r="G73" s="36">
        <v>3</v>
      </c>
      <c r="P73" s="37"/>
    </row>
    <row r="74" spans="1:76">
      <c r="A74" s="38" t="s">
        <v>56</v>
      </c>
      <c r="B74" s="39" t="s">
        <v>56</v>
      </c>
      <c r="C74" s="39" t="s">
        <v>140</v>
      </c>
      <c r="D74" s="76" t="s">
        <v>162</v>
      </c>
      <c r="E74" s="77"/>
      <c r="F74" s="40" t="s">
        <v>4</v>
      </c>
      <c r="G74" s="40" t="s">
        <v>4</v>
      </c>
      <c r="H74" s="40" t="s">
        <v>4</v>
      </c>
      <c r="I74" s="40" t="s">
        <v>4</v>
      </c>
      <c r="J74" s="1">
        <f>SUM(J75:J90)</f>
        <v>40299.652985122084</v>
      </c>
      <c r="K74" s="1">
        <f>SUM(K75:K90)</f>
        <v>505153.97541487799</v>
      </c>
      <c r="L74" s="1">
        <f>SUM(L75:L90)</f>
        <v>545453.62840000005</v>
      </c>
      <c r="M74" s="1">
        <f>SUM(M75:M90)</f>
        <v>659998.89036399999</v>
      </c>
      <c r="N74" s="12" t="s">
        <v>56</v>
      </c>
      <c r="O74" s="1">
        <f>SUM(O75:O90)</f>
        <v>2.81955168</v>
      </c>
      <c r="P74" s="41" t="s">
        <v>56</v>
      </c>
      <c r="AI74" s="12" t="s">
        <v>56</v>
      </c>
      <c r="AS74" s="1">
        <f>SUM(AJ75:AJ90)</f>
        <v>0</v>
      </c>
      <c r="AT74" s="1">
        <f>SUM(AK75:AK90)</f>
        <v>0</v>
      </c>
      <c r="AU74" s="1">
        <f>SUM(AL75:AL90)</f>
        <v>545453.62840000005</v>
      </c>
    </row>
    <row r="75" spans="1:76">
      <c r="A75" s="2" t="s">
        <v>163</v>
      </c>
      <c r="B75" s="3" t="s">
        <v>56</v>
      </c>
      <c r="C75" s="3" t="s">
        <v>164</v>
      </c>
      <c r="D75" s="74" t="s">
        <v>165</v>
      </c>
      <c r="E75" s="75"/>
      <c r="F75" s="3" t="s">
        <v>77</v>
      </c>
      <c r="G75" s="31">
        <v>1</v>
      </c>
      <c r="H75" s="31">
        <v>1952</v>
      </c>
      <c r="I75" s="32" t="s">
        <v>63</v>
      </c>
      <c r="J75" s="31">
        <f>G75*AO75</f>
        <v>0</v>
      </c>
      <c r="K75" s="31">
        <f>G75*AP75</f>
        <v>1952</v>
      </c>
      <c r="L75" s="31">
        <f>G75*H75</f>
        <v>1952</v>
      </c>
      <c r="M75" s="31">
        <f>L75*(1+BW75/100)</f>
        <v>2361.92</v>
      </c>
      <c r="N75" s="31">
        <v>0</v>
      </c>
      <c r="O75" s="31">
        <f>G75*N75</f>
        <v>0</v>
      </c>
      <c r="P75" s="33" t="s">
        <v>85</v>
      </c>
      <c r="Z75" s="31">
        <f>IF(AQ75="5",BJ75,0)</f>
        <v>0</v>
      </c>
      <c r="AB75" s="31">
        <f>IF(AQ75="1",BH75,0)</f>
        <v>0</v>
      </c>
      <c r="AC75" s="31">
        <f>IF(AQ75="1",BI75,0)</f>
        <v>1952</v>
      </c>
      <c r="AD75" s="31">
        <f>IF(AQ75="7",BH75,0)</f>
        <v>0</v>
      </c>
      <c r="AE75" s="31">
        <f>IF(AQ75="7",BI75,0)</f>
        <v>0</v>
      </c>
      <c r="AF75" s="31">
        <f>IF(AQ75="2",BH75,0)</f>
        <v>0</v>
      </c>
      <c r="AG75" s="31">
        <f>IF(AQ75="2",BI75,0)</f>
        <v>0</v>
      </c>
      <c r="AH75" s="31">
        <f>IF(AQ75="0",BJ75,0)</f>
        <v>0</v>
      </c>
      <c r="AI75" s="12" t="s">
        <v>56</v>
      </c>
      <c r="AJ75" s="31">
        <f>IF(AN75=0,L75,0)</f>
        <v>0</v>
      </c>
      <c r="AK75" s="31">
        <f>IF(AN75=12,L75,0)</f>
        <v>0</v>
      </c>
      <c r="AL75" s="31">
        <f>IF(AN75=21,L75,0)</f>
        <v>1952</v>
      </c>
      <c r="AN75" s="31">
        <v>21</v>
      </c>
      <c r="AO75" s="31">
        <f>H75*0</f>
        <v>0</v>
      </c>
      <c r="AP75" s="31">
        <f>H75*(1-0)</f>
        <v>1952</v>
      </c>
      <c r="AQ75" s="32" t="s">
        <v>59</v>
      </c>
      <c r="AV75" s="31">
        <f>AW75+AX75</f>
        <v>1952</v>
      </c>
      <c r="AW75" s="31">
        <f>G75*AO75</f>
        <v>0</v>
      </c>
      <c r="AX75" s="31">
        <f>G75*AP75</f>
        <v>1952</v>
      </c>
      <c r="AY75" s="32" t="s">
        <v>166</v>
      </c>
      <c r="AZ75" s="32" t="s">
        <v>87</v>
      </c>
      <c r="BA75" s="12" t="s">
        <v>65</v>
      </c>
      <c r="BC75" s="31">
        <f>AW75+AX75</f>
        <v>1952</v>
      </c>
      <c r="BD75" s="31">
        <f>H75/(100-BE75)*100</f>
        <v>1952</v>
      </c>
      <c r="BE75" s="31">
        <v>0</v>
      </c>
      <c r="BF75" s="31">
        <f>O75</f>
        <v>0</v>
      </c>
      <c r="BH75" s="31">
        <f>G75*AO75</f>
        <v>0</v>
      </c>
      <c r="BI75" s="31">
        <f>G75*AP75</f>
        <v>1952</v>
      </c>
      <c r="BJ75" s="31">
        <f>G75*H75</f>
        <v>1952</v>
      </c>
      <c r="BK75" s="31"/>
      <c r="BL75" s="31">
        <v>15</v>
      </c>
      <c r="BW75" s="31" t="str">
        <f>I75</f>
        <v>21</v>
      </c>
      <c r="BX75" s="4" t="s">
        <v>165</v>
      </c>
    </row>
    <row r="76" spans="1:76">
      <c r="A76" s="34"/>
      <c r="D76" s="35" t="s">
        <v>59</v>
      </c>
      <c r="E76" s="35" t="s">
        <v>56</v>
      </c>
      <c r="G76" s="36">
        <v>1</v>
      </c>
      <c r="P76" s="37"/>
    </row>
    <row r="77" spans="1:76">
      <c r="A77" s="2" t="s">
        <v>167</v>
      </c>
      <c r="B77" s="3" t="s">
        <v>56</v>
      </c>
      <c r="C77" s="3" t="s">
        <v>168</v>
      </c>
      <c r="D77" s="74" t="s">
        <v>169</v>
      </c>
      <c r="E77" s="75"/>
      <c r="F77" s="3" t="s">
        <v>77</v>
      </c>
      <c r="G77" s="31">
        <v>1</v>
      </c>
      <c r="H77" s="31">
        <v>1940.99</v>
      </c>
      <c r="I77" s="32" t="s">
        <v>63</v>
      </c>
      <c r="J77" s="31">
        <f>G77*AO77</f>
        <v>0</v>
      </c>
      <c r="K77" s="31">
        <f>G77*AP77</f>
        <v>1940.99</v>
      </c>
      <c r="L77" s="31">
        <f>G77*H77</f>
        <v>1940.99</v>
      </c>
      <c r="M77" s="31">
        <f>L77*(1+BW77/100)</f>
        <v>2348.5978999999998</v>
      </c>
      <c r="N77" s="31">
        <v>0</v>
      </c>
      <c r="O77" s="31">
        <f>G77*N77</f>
        <v>0</v>
      </c>
      <c r="P77" s="33" t="s">
        <v>85</v>
      </c>
      <c r="Z77" s="31">
        <f>IF(AQ77="5",BJ77,0)</f>
        <v>0</v>
      </c>
      <c r="AB77" s="31">
        <f>IF(AQ77="1",BH77,0)</f>
        <v>0</v>
      </c>
      <c r="AC77" s="31">
        <f>IF(AQ77="1",BI77,0)</f>
        <v>1940.99</v>
      </c>
      <c r="AD77" s="31">
        <f>IF(AQ77="7",BH77,0)</f>
        <v>0</v>
      </c>
      <c r="AE77" s="31">
        <f>IF(AQ77="7",BI77,0)</f>
        <v>0</v>
      </c>
      <c r="AF77" s="31">
        <f>IF(AQ77="2",BH77,0)</f>
        <v>0</v>
      </c>
      <c r="AG77" s="31">
        <f>IF(AQ77="2",BI77,0)</f>
        <v>0</v>
      </c>
      <c r="AH77" s="31">
        <f>IF(AQ77="0",BJ77,0)</f>
        <v>0</v>
      </c>
      <c r="AI77" s="12" t="s">
        <v>56</v>
      </c>
      <c r="AJ77" s="31">
        <f>IF(AN77=0,L77,0)</f>
        <v>0</v>
      </c>
      <c r="AK77" s="31">
        <f>IF(AN77=12,L77,0)</f>
        <v>0</v>
      </c>
      <c r="AL77" s="31">
        <f>IF(AN77=21,L77,0)</f>
        <v>1940.99</v>
      </c>
      <c r="AN77" s="31">
        <v>21</v>
      </c>
      <c r="AO77" s="31">
        <f>H77*0</f>
        <v>0</v>
      </c>
      <c r="AP77" s="31">
        <f>H77*(1-0)</f>
        <v>1940.99</v>
      </c>
      <c r="AQ77" s="32" t="s">
        <v>59</v>
      </c>
      <c r="AV77" s="31">
        <f>AW77+AX77</f>
        <v>1940.99</v>
      </c>
      <c r="AW77" s="31">
        <f>G77*AO77</f>
        <v>0</v>
      </c>
      <c r="AX77" s="31">
        <f>G77*AP77</f>
        <v>1940.99</v>
      </c>
      <c r="AY77" s="32" t="s">
        <v>166</v>
      </c>
      <c r="AZ77" s="32" t="s">
        <v>87</v>
      </c>
      <c r="BA77" s="12" t="s">
        <v>65</v>
      </c>
      <c r="BC77" s="31">
        <f>AW77+AX77</f>
        <v>1940.99</v>
      </c>
      <c r="BD77" s="31">
        <f>H77/(100-BE77)*100</f>
        <v>1940.99</v>
      </c>
      <c r="BE77" s="31">
        <v>0</v>
      </c>
      <c r="BF77" s="31">
        <f>O77</f>
        <v>0</v>
      </c>
      <c r="BH77" s="31">
        <f>G77*AO77</f>
        <v>0</v>
      </c>
      <c r="BI77" s="31">
        <f>G77*AP77</f>
        <v>1940.99</v>
      </c>
      <c r="BJ77" s="31">
        <f>G77*H77</f>
        <v>1940.99</v>
      </c>
      <c r="BK77" s="31"/>
      <c r="BL77" s="31">
        <v>15</v>
      </c>
      <c r="BW77" s="31" t="str">
        <f>I77</f>
        <v>21</v>
      </c>
      <c r="BX77" s="4" t="s">
        <v>169</v>
      </c>
    </row>
    <row r="78" spans="1:76">
      <c r="A78" s="34"/>
      <c r="D78" s="35" t="s">
        <v>59</v>
      </c>
      <c r="E78" s="35" t="s">
        <v>56</v>
      </c>
      <c r="G78" s="36">
        <v>1</v>
      </c>
      <c r="P78" s="37"/>
    </row>
    <row r="79" spans="1:76">
      <c r="A79" s="2" t="s">
        <v>170</v>
      </c>
      <c r="B79" s="3" t="s">
        <v>56</v>
      </c>
      <c r="C79" s="3" t="s">
        <v>171</v>
      </c>
      <c r="D79" s="74" t="s">
        <v>172</v>
      </c>
      <c r="E79" s="75"/>
      <c r="F79" s="3" t="s">
        <v>173</v>
      </c>
      <c r="G79" s="31">
        <v>14</v>
      </c>
      <c r="H79" s="31">
        <v>295.5</v>
      </c>
      <c r="I79" s="32" t="s">
        <v>63</v>
      </c>
      <c r="J79" s="31">
        <f>G79*AO79</f>
        <v>0</v>
      </c>
      <c r="K79" s="31">
        <f>G79*AP79</f>
        <v>4137</v>
      </c>
      <c r="L79" s="31">
        <f>G79*H79</f>
        <v>4137</v>
      </c>
      <c r="M79" s="31">
        <f>L79*(1+BW79/100)</f>
        <v>5005.7699999999995</v>
      </c>
      <c r="N79" s="31">
        <v>0</v>
      </c>
      <c r="O79" s="31">
        <f>G79*N79</f>
        <v>0</v>
      </c>
      <c r="P79" s="33" t="s">
        <v>85</v>
      </c>
      <c r="Z79" s="31">
        <f>IF(AQ79="5",BJ79,0)</f>
        <v>0</v>
      </c>
      <c r="AB79" s="31">
        <f>IF(AQ79="1",BH79,0)</f>
        <v>0</v>
      </c>
      <c r="AC79" s="31">
        <f>IF(AQ79="1",BI79,0)</f>
        <v>4137</v>
      </c>
      <c r="AD79" s="31">
        <f>IF(AQ79="7",BH79,0)</f>
        <v>0</v>
      </c>
      <c r="AE79" s="31">
        <f>IF(AQ79="7",BI79,0)</f>
        <v>0</v>
      </c>
      <c r="AF79" s="31">
        <f>IF(AQ79="2",BH79,0)</f>
        <v>0</v>
      </c>
      <c r="AG79" s="31">
        <f>IF(AQ79="2",BI79,0)</f>
        <v>0</v>
      </c>
      <c r="AH79" s="31">
        <f>IF(AQ79="0",BJ79,0)</f>
        <v>0</v>
      </c>
      <c r="AI79" s="12" t="s">
        <v>56</v>
      </c>
      <c r="AJ79" s="31">
        <f>IF(AN79=0,L79,0)</f>
        <v>0</v>
      </c>
      <c r="AK79" s="31">
        <f>IF(AN79=12,L79,0)</f>
        <v>0</v>
      </c>
      <c r="AL79" s="31">
        <f>IF(AN79=21,L79,0)</f>
        <v>4137</v>
      </c>
      <c r="AN79" s="31">
        <v>21</v>
      </c>
      <c r="AO79" s="31">
        <f>H79*0</f>
        <v>0</v>
      </c>
      <c r="AP79" s="31">
        <f>H79*(1-0)</f>
        <v>295.5</v>
      </c>
      <c r="AQ79" s="32" t="s">
        <v>59</v>
      </c>
      <c r="AV79" s="31">
        <f>AW79+AX79</f>
        <v>4137</v>
      </c>
      <c r="AW79" s="31">
        <f>G79*AO79</f>
        <v>0</v>
      </c>
      <c r="AX79" s="31">
        <f>G79*AP79</f>
        <v>4137</v>
      </c>
      <c r="AY79" s="32" t="s">
        <v>166</v>
      </c>
      <c r="AZ79" s="32" t="s">
        <v>87</v>
      </c>
      <c r="BA79" s="12" t="s">
        <v>65</v>
      </c>
      <c r="BC79" s="31">
        <f>AW79+AX79</f>
        <v>4137</v>
      </c>
      <c r="BD79" s="31">
        <f>H79/(100-BE79)*100</f>
        <v>295.5</v>
      </c>
      <c r="BE79" s="31">
        <v>0</v>
      </c>
      <c r="BF79" s="31">
        <f>O79</f>
        <v>0</v>
      </c>
      <c r="BH79" s="31">
        <f>G79*AO79</f>
        <v>0</v>
      </c>
      <c r="BI79" s="31">
        <f>G79*AP79</f>
        <v>4137</v>
      </c>
      <c r="BJ79" s="31">
        <f>G79*H79</f>
        <v>4137</v>
      </c>
      <c r="BK79" s="31"/>
      <c r="BL79" s="31">
        <v>15</v>
      </c>
      <c r="BW79" s="31" t="str">
        <f>I79</f>
        <v>21</v>
      </c>
      <c r="BX79" s="4" t="s">
        <v>172</v>
      </c>
    </row>
    <row r="80" spans="1:76">
      <c r="A80" s="34"/>
      <c r="D80" s="35" t="s">
        <v>136</v>
      </c>
      <c r="E80" s="35" t="s">
        <v>56</v>
      </c>
      <c r="G80" s="36">
        <v>14</v>
      </c>
      <c r="P80" s="37"/>
    </row>
    <row r="81" spans="1:76">
      <c r="A81" s="2" t="s">
        <v>63</v>
      </c>
      <c r="B81" s="3" t="s">
        <v>56</v>
      </c>
      <c r="C81" s="3" t="s">
        <v>174</v>
      </c>
      <c r="D81" s="74" t="s">
        <v>175</v>
      </c>
      <c r="E81" s="75"/>
      <c r="F81" s="3" t="s">
        <v>100</v>
      </c>
      <c r="G81" s="31">
        <v>2848.0320000000002</v>
      </c>
      <c r="H81" s="31">
        <v>155</v>
      </c>
      <c r="I81" s="32" t="s">
        <v>63</v>
      </c>
      <c r="J81" s="31">
        <f>G81*AO81</f>
        <v>40299.652985122084</v>
      </c>
      <c r="K81" s="31">
        <f>G81*AP81</f>
        <v>401145.30701487797</v>
      </c>
      <c r="L81" s="31">
        <f>G81*H81</f>
        <v>441444.96</v>
      </c>
      <c r="M81" s="31">
        <f>L81*(1+BW81/100)</f>
        <v>534148.40159999998</v>
      </c>
      <c r="N81" s="31">
        <v>9.8999999999999999E-4</v>
      </c>
      <c r="O81" s="31">
        <f>G81*N81</f>
        <v>2.81955168</v>
      </c>
      <c r="P81" s="33" t="s">
        <v>85</v>
      </c>
      <c r="Z81" s="31">
        <f>IF(AQ81="5",BJ81,0)</f>
        <v>0</v>
      </c>
      <c r="AB81" s="31">
        <f>IF(AQ81="1",BH81,0)</f>
        <v>40299.652985122084</v>
      </c>
      <c r="AC81" s="31">
        <f>IF(AQ81="1",BI81,0)</f>
        <v>401145.30701487797</v>
      </c>
      <c r="AD81" s="31">
        <f>IF(AQ81="7",BH81,0)</f>
        <v>0</v>
      </c>
      <c r="AE81" s="31">
        <f>IF(AQ81="7",BI81,0)</f>
        <v>0</v>
      </c>
      <c r="AF81" s="31">
        <f>IF(AQ81="2",BH81,0)</f>
        <v>0</v>
      </c>
      <c r="AG81" s="31">
        <f>IF(AQ81="2",BI81,0)</f>
        <v>0</v>
      </c>
      <c r="AH81" s="31">
        <f>IF(AQ81="0",BJ81,0)</f>
        <v>0</v>
      </c>
      <c r="AI81" s="12" t="s">
        <v>56</v>
      </c>
      <c r="AJ81" s="31">
        <f>IF(AN81=0,L81,0)</f>
        <v>0</v>
      </c>
      <c r="AK81" s="31">
        <f>IF(AN81=12,L81,0)</f>
        <v>0</v>
      </c>
      <c r="AL81" s="31">
        <f>IF(AN81=21,L81,0)</f>
        <v>441444.96</v>
      </c>
      <c r="AN81" s="31">
        <v>21</v>
      </c>
      <c r="AO81" s="31">
        <f>H81*0.091290323</f>
        <v>14.150000065</v>
      </c>
      <c r="AP81" s="31">
        <f>H81*(1-0.091290323)</f>
        <v>140.849999935</v>
      </c>
      <c r="AQ81" s="32" t="s">
        <v>59</v>
      </c>
      <c r="AV81" s="31">
        <f>AW81+AX81</f>
        <v>441444.96000000008</v>
      </c>
      <c r="AW81" s="31">
        <f>G81*AO81</f>
        <v>40299.652985122084</v>
      </c>
      <c r="AX81" s="31">
        <f>G81*AP81</f>
        <v>401145.30701487797</v>
      </c>
      <c r="AY81" s="32" t="s">
        <v>166</v>
      </c>
      <c r="AZ81" s="32" t="s">
        <v>87</v>
      </c>
      <c r="BA81" s="12" t="s">
        <v>65</v>
      </c>
      <c r="BC81" s="31">
        <f>AW81+AX81</f>
        <v>441444.96000000008</v>
      </c>
      <c r="BD81" s="31">
        <f>H81/(100-BE81)*100</f>
        <v>155</v>
      </c>
      <c r="BE81" s="31">
        <v>0</v>
      </c>
      <c r="BF81" s="31">
        <f>O81</f>
        <v>2.81955168</v>
      </c>
      <c r="BH81" s="31">
        <f>G81*AO81</f>
        <v>40299.652985122084</v>
      </c>
      <c r="BI81" s="31">
        <f>G81*AP81</f>
        <v>401145.30701487797</v>
      </c>
      <c r="BJ81" s="31">
        <f>G81*H81</f>
        <v>441444.96</v>
      </c>
      <c r="BK81" s="31"/>
      <c r="BL81" s="31">
        <v>15</v>
      </c>
      <c r="BW81" s="31" t="str">
        <f>I81</f>
        <v>21</v>
      </c>
      <c r="BX81" s="4" t="s">
        <v>175</v>
      </c>
    </row>
    <row r="82" spans="1:76">
      <c r="A82" s="34"/>
      <c r="D82" s="35" t="s">
        <v>176</v>
      </c>
      <c r="E82" s="35" t="s">
        <v>56</v>
      </c>
      <c r="G82" s="36">
        <v>757.48</v>
      </c>
      <c r="P82" s="37"/>
    </row>
    <row r="83" spans="1:76">
      <c r="A83" s="34"/>
      <c r="D83" s="35" t="s">
        <v>177</v>
      </c>
      <c r="E83" s="35" t="s">
        <v>56</v>
      </c>
      <c r="G83" s="36">
        <v>95.7</v>
      </c>
      <c r="P83" s="37"/>
    </row>
    <row r="84" spans="1:76">
      <c r="A84" s="34"/>
      <c r="D84" s="35" t="s">
        <v>178</v>
      </c>
      <c r="E84" s="35" t="s">
        <v>56</v>
      </c>
      <c r="G84" s="36">
        <v>211.55500000000001</v>
      </c>
      <c r="P84" s="37"/>
    </row>
    <row r="85" spans="1:76">
      <c r="A85" s="34"/>
      <c r="D85" s="35" t="s">
        <v>130</v>
      </c>
      <c r="E85" s="35" t="s">
        <v>56</v>
      </c>
      <c r="G85" s="36">
        <v>0</v>
      </c>
      <c r="P85" s="37"/>
    </row>
    <row r="86" spans="1:76">
      <c r="A86" s="34"/>
      <c r="D86" s="35" t="s">
        <v>179</v>
      </c>
      <c r="E86" s="35" t="s">
        <v>56</v>
      </c>
      <c r="G86" s="36">
        <v>121.075</v>
      </c>
      <c r="P86" s="37"/>
    </row>
    <row r="87" spans="1:76">
      <c r="A87" s="34"/>
      <c r="D87" s="35" t="s">
        <v>133</v>
      </c>
      <c r="E87" s="35" t="s">
        <v>56</v>
      </c>
      <c r="G87" s="36">
        <v>0</v>
      </c>
      <c r="P87" s="37"/>
    </row>
    <row r="88" spans="1:76">
      <c r="A88" s="34"/>
      <c r="D88" s="35" t="s">
        <v>180</v>
      </c>
      <c r="E88" s="35" t="s">
        <v>56</v>
      </c>
      <c r="G88" s="36">
        <v>1662.222</v>
      </c>
      <c r="P88" s="37"/>
    </row>
    <row r="89" spans="1:76">
      <c r="A89" s="34"/>
      <c r="D89" s="35" t="s">
        <v>135</v>
      </c>
      <c r="E89" s="35" t="s">
        <v>56</v>
      </c>
      <c r="G89" s="36">
        <v>0</v>
      </c>
      <c r="P89" s="37"/>
    </row>
    <row r="90" spans="1:76">
      <c r="A90" s="2" t="s">
        <v>181</v>
      </c>
      <c r="B90" s="3" t="s">
        <v>56</v>
      </c>
      <c r="C90" s="3" t="s">
        <v>182</v>
      </c>
      <c r="D90" s="74" t="s">
        <v>183</v>
      </c>
      <c r="E90" s="75"/>
      <c r="F90" s="3" t="s">
        <v>100</v>
      </c>
      <c r="G90" s="31">
        <v>2848.0320000000002</v>
      </c>
      <c r="H90" s="31">
        <v>33.700000000000003</v>
      </c>
      <c r="I90" s="32" t="s">
        <v>63</v>
      </c>
      <c r="J90" s="31">
        <f>G90*AO90</f>
        <v>0</v>
      </c>
      <c r="K90" s="31">
        <f>G90*AP90</f>
        <v>95978.678400000019</v>
      </c>
      <c r="L90" s="31">
        <f>G90*H90</f>
        <v>95978.678400000019</v>
      </c>
      <c r="M90" s="31">
        <f>L90*(1+BW90/100)</f>
        <v>116134.20086400001</v>
      </c>
      <c r="N90" s="31">
        <v>0</v>
      </c>
      <c r="O90" s="31">
        <f>G90*N90</f>
        <v>0</v>
      </c>
      <c r="P90" s="33" t="s">
        <v>85</v>
      </c>
      <c r="Z90" s="31">
        <f>IF(AQ90="5",BJ90,0)</f>
        <v>0</v>
      </c>
      <c r="AB90" s="31">
        <f>IF(AQ90="1",BH90,0)</f>
        <v>0</v>
      </c>
      <c r="AC90" s="31">
        <f>IF(AQ90="1",BI90,0)</f>
        <v>95978.678400000019</v>
      </c>
      <c r="AD90" s="31">
        <f>IF(AQ90="7",BH90,0)</f>
        <v>0</v>
      </c>
      <c r="AE90" s="31">
        <f>IF(AQ90="7",BI90,0)</f>
        <v>0</v>
      </c>
      <c r="AF90" s="31">
        <f>IF(AQ90="2",BH90,0)</f>
        <v>0</v>
      </c>
      <c r="AG90" s="31">
        <f>IF(AQ90="2",BI90,0)</f>
        <v>0</v>
      </c>
      <c r="AH90" s="31">
        <f>IF(AQ90="0",BJ90,0)</f>
        <v>0</v>
      </c>
      <c r="AI90" s="12" t="s">
        <v>56</v>
      </c>
      <c r="AJ90" s="31">
        <f>IF(AN90=0,L90,0)</f>
        <v>0</v>
      </c>
      <c r="AK90" s="31">
        <f>IF(AN90=12,L90,0)</f>
        <v>0</v>
      </c>
      <c r="AL90" s="31">
        <f>IF(AN90=21,L90,0)</f>
        <v>95978.678400000019</v>
      </c>
      <c r="AN90" s="31">
        <v>21</v>
      </c>
      <c r="AO90" s="31">
        <f>H90*0</f>
        <v>0</v>
      </c>
      <c r="AP90" s="31">
        <f>H90*(1-0)</f>
        <v>33.700000000000003</v>
      </c>
      <c r="AQ90" s="32" t="s">
        <v>59</v>
      </c>
      <c r="AV90" s="31">
        <f>AW90+AX90</f>
        <v>95978.678400000019</v>
      </c>
      <c r="AW90" s="31">
        <f>G90*AO90</f>
        <v>0</v>
      </c>
      <c r="AX90" s="31">
        <f>G90*AP90</f>
        <v>95978.678400000019</v>
      </c>
      <c r="AY90" s="32" t="s">
        <v>166</v>
      </c>
      <c r="AZ90" s="32" t="s">
        <v>87</v>
      </c>
      <c r="BA90" s="12" t="s">
        <v>65</v>
      </c>
      <c r="BC90" s="31">
        <f>AW90+AX90</f>
        <v>95978.678400000019</v>
      </c>
      <c r="BD90" s="31">
        <f>H90/(100-BE90)*100</f>
        <v>33.700000000000003</v>
      </c>
      <c r="BE90" s="31">
        <v>0</v>
      </c>
      <c r="BF90" s="31">
        <f>O90</f>
        <v>0</v>
      </c>
      <c r="BH90" s="31">
        <f>G90*AO90</f>
        <v>0</v>
      </c>
      <c r="BI90" s="31">
        <f>G90*AP90</f>
        <v>95978.678400000019</v>
      </c>
      <c r="BJ90" s="31">
        <f>G90*H90</f>
        <v>95978.678400000019</v>
      </c>
      <c r="BK90" s="31"/>
      <c r="BL90" s="31">
        <v>15</v>
      </c>
      <c r="BW90" s="31" t="str">
        <f>I90</f>
        <v>21</v>
      </c>
      <c r="BX90" s="4" t="s">
        <v>183</v>
      </c>
    </row>
    <row r="91" spans="1:76">
      <c r="A91" s="34"/>
      <c r="D91" s="35" t="s">
        <v>184</v>
      </c>
      <c r="E91" s="35" t="s">
        <v>56</v>
      </c>
      <c r="G91" s="36">
        <v>2848.0320000000002</v>
      </c>
      <c r="P91" s="37"/>
    </row>
    <row r="92" spans="1:76">
      <c r="A92" s="38" t="s">
        <v>56</v>
      </c>
      <c r="B92" s="39" t="s">
        <v>56</v>
      </c>
      <c r="C92" s="39" t="s">
        <v>148</v>
      </c>
      <c r="D92" s="76" t="s">
        <v>185</v>
      </c>
      <c r="E92" s="77"/>
      <c r="F92" s="40" t="s">
        <v>4</v>
      </c>
      <c r="G92" s="40" t="s">
        <v>4</v>
      </c>
      <c r="H92" s="40" t="s">
        <v>4</v>
      </c>
      <c r="I92" s="40" t="s">
        <v>4</v>
      </c>
      <c r="J92" s="1">
        <f>SUM(J93:J114)</f>
        <v>0</v>
      </c>
      <c r="K92" s="1">
        <f>SUM(K93:K114)</f>
        <v>1326722.1278835002</v>
      </c>
      <c r="L92" s="1">
        <f>SUM(L93:L114)</f>
        <v>1326722.1278835002</v>
      </c>
      <c r="M92" s="1">
        <f>SUM(M93:M114)</f>
        <v>1605333.7747390349</v>
      </c>
      <c r="N92" s="12" t="s">
        <v>56</v>
      </c>
      <c r="O92" s="1">
        <f>SUM(O93:O114)</f>
        <v>0</v>
      </c>
      <c r="P92" s="41" t="s">
        <v>56</v>
      </c>
      <c r="AI92" s="12" t="s">
        <v>56</v>
      </c>
      <c r="AS92" s="1">
        <f>SUM(AJ93:AJ114)</f>
        <v>0</v>
      </c>
      <c r="AT92" s="1">
        <f>SUM(AK93:AK114)</f>
        <v>0</v>
      </c>
      <c r="AU92" s="1">
        <f>SUM(AL93:AL114)</f>
        <v>1326722.1278835002</v>
      </c>
    </row>
    <row r="93" spans="1:76">
      <c r="A93" s="2" t="s">
        <v>186</v>
      </c>
      <c r="B93" s="3" t="s">
        <v>56</v>
      </c>
      <c r="C93" s="3" t="s">
        <v>187</v>
      </c>
      <c r="D93" s="74" t="s">
        <v>188</v>
      </c>
      <c r="E93" s="75"/>
      <c r="F93" s="3" t="s">
        <v>118</v>
      </c>
      <c r="G93" s="31">
        <v>16.649999999999999</v>
      </c>
      <c r="H93" s="31">
        <v>249.5</v>
      </c>
      <c r="I93" s="32" t="s">
        <v>63</v>
      </c>
      <c r="J93" s="31">
        <f>G93*AO93</f>
        <v>0</v>
      </c>
      <c r="K93" s="31">
        <f>G93*AP93</f>
        <v>4154.1749999999993</v>
      </c>
      <c r="L93" s="31">
        <f>G93*H93</f>
        <v>4154.1749999999993</v>
      </c>
      <c r="M93" s="31">
        <f>L93*(1+BW93/100)</f>
        <v>5026.5517499999987</v>
      </c>
      <c r="N93" s="31">
        <v>0</v>
      </c>
      <c r="O93" s="31">
        <f>G93*N93</f>
        <v>0</v>
      </c>
      <c r="P93" s="33" t="s">
        <v>85</v>
      </c>
      <c r="Z93" s="31">
        <f>IF(AQ93="5",BJ93,0)</f>
        <v>0</v>
      </c>
      <c r="AB93" s="31">
        <f>IF(AQ93="1",BH93,0)</f>
        <v>0</v>
      </c>
      <c r="AC93" s="31">
        <f>IF(AQ93="1",BI93,0)</f>
        <v>4154.1749999999993</v>
      </c>
      <c r="AD93" s="31">
        <f>IF(AQ93="7",BH93,0)</f>
        <v>0</v>
      </c>
      <c r="AE93" s="31">
        <f>IF(AQ93="7",BI93,0)</f>
        <v>0</v>
      </c>
      <c r="AF93" s="31">
        <f>IF(AQ93="2",BH93,0)</f>
        <v>0</v>
      </c>
      <c r="AG93" s="31">
        <f>IF(AQ93="2",BI93,0)</f>
        <v>0</v>
      </c>
      <c r="AH93" s="31">
        <f>IF(AQ93="0",BJ93,0)</f>
        <v>0</v>
      </c>
      <c r="AI93" s="12" t="s">
        <v>56</v>
      </c>
      <c r="AJ93" s="31">
        <f>IF(AN93=0,L93,0)</f>
        <v>0</v>
      </c>
      <c r="AK93" s="31">
        <f>IF(AN93=12,L93,0)</f>
        <v>0</v>
      </c>
      <c r="AL93" s="31">
        <f>IF(AN93=21,L93,0)</f>
        <v>4154.1749999999993</v>
      </c>
      <c r="AN93" s="31">
        <v>21</v>
      </c>
      <c r="AO93" s="31">
        <f>H93*0</f>
        <v>0</v>
      </c>
      <c r="AP93" s="31">
        <f>H93*(1-0)</f>
        <v>249.5</v>
      </c>
      <c r="AQ93" s="32" t="s">
        <v>59</v>
      </c>
      <c r="AV93" s="31">
        <f>AW93+AX93</f>
        <v>4154.1749999999993</v>
      </c>
      <c r="AW93" s="31">
        <f>G93*AO93</f>
        <v>0</v>
      </c>
      <c r="AX93" s="31">
        <f>G93*AP93</f>
        <v>4154.1749999999993</v>
      </c>
      <c r="AY93" s="32" t="s">
        <v>189</v>
      </c>
      <c r="AZ93" s="32" t="s">
        <v>87</v>
      </c>
      <c r="BA93" s="12" t="s">
        <v>65</v>
      </c>
      <c r="BC93" s="31">
        <f>AW93+AX93</f>
        <v>4154.1749999999993</v>
      </c>
      <c r="BD93" s="31">
        <f>H93/(100-BE93)*100</f>
        <v>249.5</v>
      </c>
      <c r="BE93" s="31">
        <v>0</v>
      </c>
      <c r="BF93" s="31">
        <f>O93</f>
        <v>0</v>
      </c>
      <c r="BH93" s="31">
        <f>G93*AO93</f>
        <v>0</v>
      </c>
      <c r="BI93" s="31">
        <f>G93*AP93</f>
        <v>4154.1749999999993</v>
      </c>
      <c r="BJ93" s="31">
        <f>G93*H93</f>
        <v>4154.1749999999993</v>
      </c>
      <c r="BK93" s="31"/>
      <c r="BL93" s="31">
        <v>16</v>
      </c>
      <c r="BW93" s="31" t="str">
        <f>I93</f>
        <v>21</v>
      </c>
      <c r="BX93" s="4" t="s">
        <v>188</v>
      </c>
    </row>
    <row r="94" spans="1:76">
      <c r="A94" s="34"/>
      <c r="D94" s="35" t="s">
        <v>190</v>
      </c>
      <c r="E94" s="35" t="s">
        <v>56</v>
      </c>
      <c r="G94" s="36">
        <v>16.649999999999999</v>
      </c>
      <c r="P94" s="37"/>
    </row>
    <row r="95" spans="1:76">
      <c r="A95" s="2" t="s">
        <v>191</v>
      </c>
      <c r="B95" s="3" t="s">
        <v>56</v>
      </c>
      <c r="C95" s="3" t="s">
        <v>192</v>
      </c>
      <c r="D95" s="74" t="s">
        <v>193</v>
      </c>
      <c r="E95" s="75"/>
      <c r="F95" s="3" t="s">
        <v>118</v>
      </c>
      <c r="G95" s="31">
        <v>1960.76423</v>
      </c>
      <c r="H95" s="31">
        <v>156.5</v>
      </c>
      <c r="I95" s="32" t="s">
        <v>63</v>
      </c>
      <c r="J95" s="31">
        <f>G95*AO95</f>
        <v>0</v>
      </c>
      <c r="K95" s="31">
        <f>G95*AP95</f>
        <v>306859.60199499998</v>
      </c>
      <c r="L95" s="31">
        <f>G95*H95</f>
        <v>306859.60199499998</v>
      </c>
      <c r="M95" s="31">
        <f>L95*(1+BW95/100)</f>
        <v>371300.11841394997</v>
      </c>
      <c r="N95" s="31">
        <v>0</v>
      </c>
      <c r="O95" s="31">
        <f>G95*N95</f>
        <v>0</v>
      </c>
      <c r="P95" s="33" t="s">
        <v>85</v>
      </c>
      <c r="Z95" s="31">
        <f>IF(AQ95="5",BJ95,0)</f>
        <v>0</v>
      </c>
      <c r="AB95" s="31">
        <f>IF(AQ95="1",BH95,0)</f>
        <v>0</v>
      </c>
      <c r="AC95" s="31">
        <f>IF(AQ95="1",BI95,0)</f>
        <v>306859.60199499998</v>
      </c>
      <c r="AD95" s="31">
        <f>IF(AQ95="7",BH95,0)</f>
        <v>0</v>
      </c>
      <c r="AE95" s="31">
        <f>IF(AQ95="7",BI95,0)</f>
        <v>0</v>
      </c>
      <c r="AF95" s="31">
        <f>IF(AQ95="2",BH95,0)</f>
        <v>0</v>
      </c>
      <c r="AG95" s="31">
        <f>IF(AQ95="2",BI95,0)</f>
        <v>0</v>
      </c>
      <c r="AH95" s="31">
        <f>IF(AQ95="0",BJ95,0)</f>
        <v>0</v>
      </c>
      <c r="AI95" s="12" t="s">
        <v>56</v>
      </c>
      <c r="AJ95" s="31">
        <f>IF(AN95=0,L95,0)</f>
        <v>0</v>
      </c>
      <c r="AK95" s="31">
        <f>IF(AN95=12,L95,0)</f>
        <v>0</v>
      </c>
      <c r="AL95" s="31">
        <f>IF(AN95=21,L95,0)</f>
        <v>306859.60199499998</v>
      </c>
      <c r="AN95" s="31">
        <v>21</v>
      </c>
      <c r="AO95" s="31">
        <f>H95*0</f>
        <v>0</v>
      </c>
      <c r="AP95" s="31">
        <f>H95*(1-0)</f>
        <v>156.5</v>
      </c>
      <c r="AQ95" s="32" t="s">
        <v>59</v>
      </c>
      <c r="AV95" s="31">
        <f>AW95+AX95</f>
        <v>306859.60199499998</v>
      </c>
      <c r="AW95" s="31">
        <f>G95*AO95</f>
        <v>0</v>
      </c>
      <c r="AX95" s="31">
        <f>G95*AP95</f>
        <v>306859.60199499998</v>
      </c>
      <c r="AY95" s="32" t="s">
        <v>189</v>
      </c>
      <c r="AZ95" s="32" t="s">
        <v>87</v>
      </c>
      <c r="BA95" s="12" t="s">
        <v>65</v>
      </c>
      <c r="BC95" s="31">
        <f>AW95+AX95</f>
        <v>306859.60199499998</v>
      </c>
      <c r="BD95" s="31">
        <f>H95/(100-BE95)*100</f>
        <v>156.5</v>
      </c>
      <c r="BE95" s="31">
        <v>0</v>
      </c>
      <c r="BF95" s="31">
        <f>O95</f>
        <v>0</v>
      </c>
      <c r="BH95" s="31">
        <f>G95*AO95</f>
        <v>0</v>
      </c>
      <c r="BI95" s="31">
        <f>G95*AP95</f>
        <v>306859.60199499998</v>
      </c>
      <c r="BJ95" s="31">
        <f>G95*H95</f>
        <v>306859.60199499998</v>
      </c>
      <c r="BK95" s="31"/>
      <c r="BL95" s="31">
        <v>16</v>
      </c>
      <c r="BW95" s="31" t="str">
        <f>I95</f>
        <v>21</v>
      </c>
      <c r="BX95" s="4" t="s">
        <v>193</v>
      </c>
    </row>
    <row r="96" spans="1:76">
      <c r="A96" s="34"/>
      <c r="D96" s="35" t="s">
        <v>194</v>
      </c>
      <c r="E96" s="35" t="s">
        <v>56</v>
      </c>
      <c r="G96" s="36">
        <v>1872.3770300000001</v>
      </c>
      <c r="P96" s="37"/>
    </row>
    <row r="97" spans="1:76">
      <c r="A97" s="34"/>
      <c r="D97" s="35" t="s">
        <v>195</v>
      </c>
      <c r="E97" s="35" t="s">
        <v>56</v>
      </c>
      <c r="G97" s="36">
        <v>88.387200000000007</v>
      </c>
      <c r="P97" s="37"/>
    </row>
    <row r="98" spans="1:76">
      <c r="A98" s="2" t="s">
        <v>196</v>
      </c>
      <c r="B98" s="3" t="s">
        <v>56</v>
      </c>
      <c r="C98" s="3" t="s">
        <v>197</v>
      </c>
      <c r="D98" s="74" t="s">
        <v>198</v>
      </c>
      <c r="E98" s="75"/>
      <c r="F98" s="3" t="s">
        <v>118</v>
      </c>
      <c r="G98" s="31">
        <v>1012.53188</v>
      </c>
      <c r="H98" s="31">
        <v>80.5</v>
      </c>
      <c r="I98" s="32" t="s">
        <v>63</v>
      </c>
      <c r="J98" s="31">
        <f>G98*AO98</f>
        <v>0</v>
      </c>
      <c r="K98" s="31">
        <f>G98*AP98</f>
        <v>81508.816340000005</v>
      </c>
      <c r="L98" s="31">
        <f>G98*H98</f>
        <v>81508.816340000005</v>
      </c>
      <c r="M98" s="31">
        <f>L98*(1+BW98/100)</f>
        <v>98625.667771399996</v>
      </c>
      <c r="N98" s="31">
        <v>0</v>
      </c>
      <c r="O98" s="31">
        <f>G98*N98</f>
        <v>0</v>
      </c>
      <c r="P98" s="33" t="s">
        <v>85</v>
      </c>
      <c r="Z98" s="31">
        <f>IF(AQ98="5",BJ98,0)</f>
        <v>0</v>
      </c>
      <c r="AB98" s="31">
        <f>IF(AQ98="1",BH98,0)</f>
        <v>0</v>
      </c>
      <c r="AC98" s="31">
        <f>IF(AQ98="1",BI98,0)</f>
        <v>81508.816340000005</v>
      </c>
      <c r="AD98" s="31">
        <f>IF(AQ98="7",BH98,0)</f>
        <v>0</v>
      </c>
      <c r="AE98" s="31">
        <f>IF(AQ98="7",BI98,0)</f>
        <v>0</v>
      </c>
      <c r="AF98" s="31">
        <f>IF(AQ98="2",BH98,0)</f>
        <v>0</v>
      </c>
      <c r="AG98" s="31">
        <f>IF(AQ98="2",BI98,0)</f>
        <v>0</v>
      </c>
      <c r="AH98" s="31">
        <f>IF(AQ98="0",BJ98,0)</f>
        <v>0</v>
      </c>
      <c r="AI98" s="12" t="s">
        <v>56</v>
      </c>
      <c r="AJ98" s="31">
        <f>IF(AN98=0,L98,0)</f>
        <v>0</v>
      </c>
      <c r="AK98" s="31">
        <f>IF(AN98=12,L98,0)</f>
        <v>0</v>
      </c>
      <c r="AL98" s="31">
        <f>IF(AN98=21,L98,0)</f>
        <v>81508.816340000005</v>
      </c>
      <c r="AN98" s="31">
        <v>21</v>
      </c>
      <c r="AO98" s="31">
        <f>H98*0</f>
        <v>0</v>
      </c>
      <c r="AP98" s="31">
        <f>H98*(1-0)</f>
        <v>80.5</v>
      </c>
      <c r="AQ98" s="32" t="s">
        <v>59</v>
      </c>
      <c r="AV98" s="31">
        <f>AW98+AX98</f>
        <v>81508.816340000005</v>
      </c>
      <c r="AW98" s="31">
        <f>G98*AO98</f>
        <v>0</v>
      </c>
      <c r="AX98" s="31">
        <f>G98*AP98</f>
        <v>81508.816340000005</v>
      </c>
      <c r="AY98" s="32" t="s">
        <v>189</v>
      </c>
      <c r="AZ98" s="32" t="s">
        <v>87</v>
      </c>
      <c r="BA98" s="12" t="s">
        <v>65</v>
      </c>
      <c r="BC98" s="31">
        <f>AW98+AX98</f>
        <v>81508.816340000005</v>
      </c>
      <c r="BD98" s="31">
        <f>H98/(100-BE98)*100</f>
        <v>80.5</v>
      </c>
      <c r="BE98" s="31">
        <v>0</v>
      </c>
      <c r="BF98" s="31">
        <f>O98</f>
        <v>0</v>
      </c>
      <c r="BH98" s="31">
        <f>G98*AO98</f>
        <v>0</v>
      </c>
      <c r="BI98" s="31">
        <f>G98*AP98</f>
        <v>81508.816340000005</v>
      </c>
      <c r="BJ98" s="31">
        <f>G98*H98</f>
        <v>81508.816340000005</v>
      </c>
      <c r="BK98" s="31"/>
      <c r="BL98" s="31">
        <v>16</v>
      </c>
      <c r="BW98" s="31" t="str">
        <f>I98</f>
        <v>21</v>
      </c>
      <c r="BX98" s="4" t="s">
        <v>198</v>
      </c>
    </row>
    <row r="99" spans="1:76">
      <c r="A99" s="34"/>
      <c r="D99" s="35" t="s">
        <v>199</v>
      </c>
      <c r="E99" s="35" t="s">
        <v>56</v>
      </c>
      <c r="G99" s="36">
        <v>14.892749999999999</v>
      </c>
      <c r="P99" s="37"/>
    </row>
    <row r="100" spans="1:76">
      <c r="A100" s="34"/>
      <c r="D100" s="35" t="s">
        <v>200</v>
      </c>
      <c r="E100" s="35" t="s">
        <v>56</v>
      </c>
      <c r="G100" s="36">
        <v>997.63913000000002</v>
      </c>
      <c r="P100" s="37"/>
    </row>
    <row r="101" spans="1:76">
      <c r="A101" s="2" t="s">
        <v>201</v>
      </c>
      <c r="B101" s="3" t="s">
        <v>56</v>
      </c>
      <c r="C101" s="3" t="s">
        <v>202</v>
      </c>
      <c r="D101" s="74" t="s">
        <v>203</v>
      </c>
      <c r="E101" s="75"/>
      <c r="F101" s="3" t="s">
        <v>118</v>
      </c>
      <c r="G101" s="31">
        <v>1012.53188</v>
      </c>
      <c r="H101" s="31">
        <v>109.5</v>
      </c>
      <c r="I101" s="32" t="s">
        <v>63</v>
      </c>
      <c r="J101" s="31">
        <f>G101*AO101</f>
        <v>0</v>
      </c>
      <c r="K101" s="31">
        <f>G101*AP101</f>
        <v>110872.24086000001</v>
      </c>
      <c r="L101" s="31">
        <f>G101*H101</f>
        <v>110872.24086000001</v>
      </c>
      <c r="M101" s="31">
        <f>L101*(1+BW101/100)</f>
        <v>134155.4114406</v>
      </c>
      <c r="N101" s="31">
        <v>0</v>
      </c>
      <c r="O101" s="31">
        <f>G101*N101</f>
        <v>0</v>
      </c>
      <c r="P101" s="33" t="s">
        <v>85</v>
      </c>
      <c r="Z101" s="31">
        <f>IF(AQ101="5",BJ101,0)</f>
        <v>0</v>
      </c>
      <c r="AB101" s="31">
        <f>IF(AQ101="1",BH101,0)</f>
        <v>0</v>
      </c>
      <c r="AC101" s="31">
        <f>IF(AQ101="1",BI101,0)</f>
        <v>110872.24086000001</v>
      </c>
      <c r="AD101" s="31">
        <f>IF(AQ101="7",BH101,0)</f>
        <v>0</v>
      </c>
      <c r="AE101" s="31">
        <f>IF(AQ101="7",BI101,0)</f>
        <v>0</v>
      </c>
      <c r="AF101" s="31">
        <f>IF(AQ101="2",BH101,0)</f>
        <v>0</v>
      </c>
      <c r="AG101" s="31">
        <f>IF(AQ101="2",BI101,0)</f>
        <v>0</v>
      </c>
      <c r="AH101" s="31">
        <f>IF(AQ101="0",BJ101,0)</f>
        <v>0</v>
      </c>
      <c r="AI101" s="12" t="s">
        <v>56</v>
      </c>
      <c r="AJ101" s="31">
        <f>IF(AN101=0,L101,0)</f>
        <v>0</v>
      </c>
      <c r="AK101" s="31">
        <f>IF(AN101=12,L101,0)</f>
        <v>0</v>
      </c>
      <c r="AL101" s="31">
        <f>IF(AN101=21,L101,0)</f>
        <v>110872.24086000001</v>
      </c>
      <c r="AN101" s="31">
        <v>21</v>
      </c>
      <c r="AO101" s="31">
        <f>H101*0</f>
        <v>0</v>
      </c>
      <c r="AP101" s="31">
        <f>H101*(1-0)</f>
        <v>109.5</v>
      </c>
      <c r="AQ101" s="32" t="s">
        <v>59</v>
      </c>
      <c r="AV101" s="31">
        <f>AW101+AX101</f>
        <v>110872.24086000001</v>
      </c>
      <c r="AW101" s="31">
        <f>G101*AO101</f>
        <v>0</v>
      </c>
      <c r="AX101" s="31">
        <f>G101*AP101</f>
        <v>110872.24086000001</v>
      </c>
      <c r="AY101" s="32" t="s">
        <v>189</v>
      </c>
      <c r="AZ101" s="32" t="s">
        <v>87</v>
      </c>
      <c r="BA101" s="12" t="s">
        <v>65</v>
      </c>
      <c r="BC101" s="31">
        <f>AW101+AX101</f>
        <v>110872.24086000001</v>
      </c>
      <c r="BD101" s="31">
        <f>H101/(100-BE101)*100</f>
        <v>109.5</v>
      </c>
      <c r="BE101" s="31">
        <v>0</v>
      </c>
      <c r="BF101" s="31">
        <f>O101</f>
        <v>0</v>
      </c>
      <c r="BH101" s="31">
        <f>G101*AO101</f>
        <v>0</v>
      </c>
      <c r="BI101" s="31">
        <f>G101*AP101</f>
        <v>110872.24086000001</v>
      </c>
      <c r="BJ101" s="31">
        <f>G101*H101</f>
        <v>110872.24086000001</v>
      </c>
      <c r="BK101" s="31"/>
      <c r="BL101" s="31">
        <v>16</v>
      </c>
      <c r="BW101" s="31" t="str">
        <f>I101</f>
        <v>21</v>
      </c>
      <c r="BX101" s="4" t="s">
        <v>203</v>
      </c>
    </row>
    <row r="102" spans="1:76">
      <c r="A102" s="34"/>
      <c r="D102" s="35" t="s">
        <v>204</v>
      </c>
      <c r="E102" s="35" t="s">
        <v>56</v>
      </c>
      <c r="G102" s="36">
        <v>1012.53188</v>
      </c>
      <c r="P102" s="37"/>
    </row>
    <row r="103" spans="1:76">
      <c r="A103" s="2" t="s">
        <v>205</v>
      </c>
      <c r="B103" s="3" t="s">
        <v>56</v>
      </c>
      <c r="C103" s="3" t="s">
        <v>197</v>
      </c>
      <c r="D103" s="74" t="s">
        <v>206</v>
      </c>
      <c r="E103" s="75"/>
      <c r="F103" s="3" t="s">
        <v>118</v>
      </c>
      <c r="G103" s="31">
        <v>1012.53198</v>
      </c>
      <c r="H103" s="31">
        <v>80.5</v>
      </c>
      <c r="I103" s="32" t="s">
        <v>63</v>
      </c>
      <c r="J103" s="31">
        <f>G103*AO103</f>
        <v>0</v>
      </c>
      <c r="K103" s="31">
        <f>G103*AP103</f>
        <v>81508.824389999994</v>
      </c>
      <c r="L103" s="31">
        <f>G103*H103</f>
        <v>81508.824389999994</v>
      </c>
      <c r="M103" s="31">
        <f>L103*(1+BW103/100)</f>
        <v>98625.677511899994</v>
      </c>
      <c r="N103" s="31">
        <v>0</v>
      </c>
      <c r="O103" s="31">
        <f>G103*N103</f>
        <v>0</v>
      </c>
      <c r="P103" s="33" t="s">
        <v>85</v>
      </c>
      <c r="Z103" s="31">
        <f>IF(AQ103="5",BJ103,0)</f>
        <v>0</v>
      </c>
      <c r="AB103" s="31">
        <f>IF(AQ103="1",BH103,0)</f>
        <v>0</v>
      </c>
      <c r="AC103" s="31">
        <f>IF(AQ103="1",BI103,0)</f>
        <v>81508.824389999994</v>
      </c>
      <c r="AD103" s="31">
        <f>IF(AQ103="7",BH103,0)</f>
        <v>0</v>
      </c>
      <c r="AE103" s="31">
        <f>IF(AQ103="7",BI103,0)</f>
        <v>0</v>
      </c>
      <c r="AF103" s="31">
        <f>IF(AQ103="2",BH103,0)</f>
        <v>0</v>
      </c>
      <c r="AG103" s="31">
        <f>IF(AQ103="2",BI103,0)</f>
        <v>0</v>
      </c>
      <c r="AH103" s="31">
        <f>IF(AQ103="0",BJ103,0)</f>
        <v>0</v>
      </c>
      <c r="AI103" s="12" t="s">
        <v>56</v>
      </c>
      <c r="AJ103" s="31">
        <f>IF(AN103=0,L103,0)</f>
        <v>0</v>
      </c>
      <c r="AK103" s="31">
        <f>IF(AN103=12,L103,0)</f>
        <v>0</v>
      </c>
      <c r="AL103" s="31">
        <f>IF(AN103=21,L103,0)</f>
        <v>81508.824389999994</v>
      </c>
      <c r="AN103" s="31">
        <v>21</v>
      </c>
      <c r="AO103" s="31">
        <f>H103*0</f>
        <v>0</v>
      </c>
      <c r="AP103" s="31">
        <f>H103*(1-0)</f>
        <v>80.5</v>
      </c>
      <c r="AQ103" s="32" t="s">
        <v>59</v>
      </c>
      <c r="AV103" s="31">
        <f>AW103+AX103</f>
        <v>81508.824389999994</v>
      </c>
      <c r="AW103" s="31">
        <f>G103*AO103</f>
        <v>0</v>
      </c>
      <c r="AX103" s="31">
        <f>G103*AP103</f>
        <v>81508.824389999994</v>
      </c>
      <c r="AY103" s="32" t="s">
        <v>189</v>
      </c>
      <c r="AZ103" s="32" t="s">
        <v>87</v>
      </c>
      <c r="BA103" s="12" t="s">
        <v>65</v>
      </c>
      <c r="BC103" s="31">
        <f>AW103+AX103</f>
        <v>81508.824389999994</v>
      </c>
      <c r="BD103" s="31">
        <f>H103/(100-BE103)*100</f>
        <v>80.5</v>
      </c>
      <c r="BE103" s="31">
        <v>0</v>
      </c>
      <c r="BF103" s="31">
        <f>O103</f>
        <v>0</v>
      </c>
      <c r="BH103" s="31">
        <f>G103*AO103</f>
        <v>0</v>
      </c>
      <c r="BI103" s="31">
        <f>G103*AP103</f>
        <v>81508.824389999994</v>
      </c>
      <c r="BJ103" s="31">
        <f>G103*H103</f>
        <v>81508.824389999994</v>
      </c>
      <c r="BK103" s="31"/>
      <c r="BL103" s="31">
        <v>16</v>
      </c>
      <c r="BW103" s="31" t="str">
        <f>I103</f>
        <v>21</v>
      </c>
      <c r="BX103" s="4" t="s">
        <v>206</v>
      </c>
    </row>
    <row r="104" spans="1:76">
      <c r="A104" s="34"/>
      <c r="D104" s="35" t="s">
        <v>207</v>
      </c>
      <c r="E104" s="35" t="s">
        <v>56</v>
      </c>
      <c r="G104" s="36">
        <v>14.892849999999999</v>
      </c>
      <c r="P104" s="37"/>
    </row>
    <row r="105" spans="1:76">
      <c r="A105" s="34"/>
      <c r="D105" s="35" t="s">
        <v>200</v>
      </c>
      <c r="E105" s="35" t="s">
        <v>56</v>
      </c>
      <c r="G105" s="36">
        <v>997.63913000000002</v>
      </c>
      <c r="P105" s="37"/>
    </row>
    <row r="106" spans="1:76">
      <c r="A106" s="2" t="s">
        <v>208</v>
      </c>
      <c r="B106" s="3" t="s">
        <v>56</v>
      </c>
      <c r="C106" s="3" t="s">
        <v>202</v>
      </c>
      <c r="D106" s="74" t="s">
        <v>209</v>
      </c>
      <c r="E106" s="75"/>
      <c r="F106" s="3" t="s">
        <v>118</v>
      </c>
      <c r="G106" s="31">
        <v>1012.53198</v>
      </c>
      <c r="H106" s="31">
        <v>109.5</v>
      </c>
      <c r="I106" s="32" t="s">
        <v>63</v>
      </c>
      <c r="J106" s="31">
        <f>G106*AO106</f>
        <v>0</v>
      </c>
      <c r="K106" s="31">
        <f>G106*AP106</f>
        <v>110872.25181</v>
      </c>
      <c r="L106" s="31">
        <f>G106*H106</f>
        <v>110872.25181</v>
      </c>
      <c r="M106" s="31">
        <f>L106*(1+BW106/100)</f>
        <v>134155.42469009999</v>
      </c>
      <c r="N106" s="31">
        <v>0</v>
      </c>
      <c r="O106" s="31">
        <f>G106*N106</f>
        <v>0</v>
      </c>
      <c r="P106" s="33" t="s">
        <v>85</v>
      </c>
      <c r="Z106" s="31">
        <f>IF(AQ106="5",BJ106,0)</f>
        <v>0</v>
      </c>
      <c r="AB106" s="31">
        <f>IF(AQ106="1",BH106,0)</f>
        <v>0</v>
      </c>
      <c r="AC106" s="31">
        <f>IF(AQ106="1",BI106,0)</f>
        <v>110872.25181</v>
      </c>
      <c r="AD106" s="31">
        <f>IF(AQ106="7",BH106,0)</f>
        <v>0</v>
      </c>
      <c r="AE106" s="31">
        <f>IF(AQ106="7",BI106,0)</f>
        <v>0</v>
      </c>
      <c r="AF106" s="31">
        <f>IF(AQ106="2",BH106,0)</f>
        <v>0</v>
      </c>
      <c r="AG106" s="31">
        <f>IF(AQ106="2",BI106,0)</f>
        <v>0</v>
      </c>
      <c r="AH106" s="31">
        <f>IF(AQ106="0",BJ106,0)</f>
        <v>0</v>
      </c>
      <c r="AI106" s="12" t="s">
        <v>56</v>
      </c>
      <c r="AJ106" s="31">
        <f>IF(AN106=0,L106,0)</f>
        <v>0</v>
      </c>
      <c r="AK106" s="31">
        <f>IF(AN106=12,L106,0)</f>
        <v>0</v>
      </c>
      <c r="AL106" s="31">
        <f>IF(AN106=21,L106,0)</f>
        <v>110872.25181</v>
      </c>
      <c r="AN106" s="31">
        <v>21</v>
      </c>
      <c r="AO106" s="31">
        <f>H106*0</f>
        <v>0</v>
      </c>
      <c r="AP106" s="31">
        <f>H106*(1-0)</f>
        <v>109.5</v>
      </c>
      <c r="AQ106" s="32" t="s">
        <v>59</v>
      </c>
      <c r="AV106" s="31">
        <f>AW106+AX106</f>
        <v>110872.25181</v>
      </c>
      <c r="AW106" s="31">
        <f>G106*AO106</f>
        <v>0</v>
      </c>
      <c r="AX106" s="31">
        <f>G106*AP106</f>
        <v>110872.25181</v>
      </c>
      <c r="AY106" s="32" t="s">
        <v>189</v>
      </c>
      <c r="AZ106" s="32" t="s">
        <v>87</v>
      </c>
      <c r="BA106" s="12" t="s">
        <v>65</v>
      </c>
      <c r="BC106" s="31">
        <f>AW106+AX106</f>
        <v>110872.25181</v>
      </c>
      <c r="BD106" s="31">
        <f>H106/(100-BE106)*100</f>
        <v>109.5</v>
      </c>
      <c r="BE106" s="31">
        <v>0</v>
      </c>
      <c r="BF106" s="31">
        <f>O106</f>
        <v>0</v>
      </c>
      <c r="BH106" s="31">
        <f>G106*AO106</f>
        <v>0</v>
      </c>
      <c r="BI106" s="31">
        <f>G106*AP106</f>
        <v>110872.25181</v>
      </c>
      <c r="BJ106" s="31">
        <f>G106*H106</f>
        <v>110872.25181</v>
      </c>
      <c r="BK106" s="31"/>
      <c r="BL106" s="31">
        <v>16</v>
      </c>
      <c r="BW106" s="31" t="str">
        <f>I106</f>
        <v>21</v>
      </c>
      <c r="BX106" s="4" t="s">
        <v>209</v>
      </c>
    </row>
    <row r="107" spans="1:76">
      <c r="A107" s="34"/>
      <c r="D107" s="35" t="s">
        <v>210</v>
      </c>
      <c r="E107" s="35" t="s">
        <v>56</v>
      </c>
      <c r="G107" s="36">
        <v>1012.53198</v>
      </c>
      <c r="P107" s="37"/>
    </row>
    <row r="108" spans="1:76">
      <c r="A108" s="2" t="s">
        <v>211</v>
      </c>
      <c r="B108" s="3" t="s">
        <v>56</v>
      </c>
      <c r="C108" s="3" t="s">
        <v>197</v>
      </c>
      <c r="D108" s="74" t="s">
        <v>212</v>
      </c>
      <c r="E108" s="75"/>
      <c r="F108" s="3" t="s">
        <v>118</v>
      </c>
      <c r="G108" s="31">
        <v>964.88234999999997</v>
      </c>
      <c r="H108" s="31">
        <v>80.5</v>
      </c>
      <c r="I108" s="32" t="s">
        <v>63</v>
      </c>
      <c r="J108" s="31">
        <f>G108*AO108</f>
        <v>0</v>
      </c>
      <c r="K108" s="31">
        <f>G108*AP108</f>
        <v>77673.029175000003</v>
      </c>
      <c r="L108" s="31">
        <f>G108*H108</f>
        <v>77673.029175000003</v>
      </c>
      <c r="M108" s="31">
        <f>L108*(1+BW108/100)</f>
        <v>93984.365301750004</v>
      </c>
      <c r="N108" s="31">
        <v>0</v>
      </c>
      <c r="O108" s="31">
        <f>G108*N108</f>
        <v>0</v>
      </c>
      <c r="P108" s="33" t="s">
        <v>85</v>
      </c>
      <c r="Z108" s="31">
        <f>IF(AQ108="5",BJ108,0)</f>
        <v>0</v>
      </c>
      <c r="AB108" s="31">
        <f>IF(AQ108="1",BH108,0)</f>
        <v>0</v>
      </c>
      <c r="AC108" s="31">
        <f>IF(AQ108="1",BI108,0)</f>
        <v>77673.029175000003</v>
      </c>
      <c r="AD108" s="31">
        <f>IF(AQ108="7",BH108,0)</f>
        <v>0</v>
      </c>
      <c r="AE108" s="31">
        <f>IF(AQ108="7",BI108,0)</f>
        <v>0</v>
      </c>
      <c r="AF108" s="31">
        <f>IF(AQ108="2",BH108,0)</f>
        <v>0</v>
      </c>
      <c r="AG108" s="31">
        <f>IF(AQ108="2",BI108,0)</f>
        <v>0</v>
      </c>
      <c r="AH108" s="31">
        <f>IF(AQ108="0",BJ108,0)</f>
        <v>0</v>
      </c>
      <c r="AI108" s="12" t="s">
        <v>56</v>
      </c>
      <c r="AJ108" s="31">
        <f>IF(AN108=0,L108,0)</f>
        <v>0</v>
      </c>
      <c r="AK108" s="31">
        <f>IF(AN108=12,L108,0)</f>
        <v>0</v>
      </c>
      <c r="AL108" s="31">
        <f>IF(AN108=21,L108,0)</f>
        <v>77673.029175000003</v>
      </c>
      <c r="AN108" s="31">
        <v>21</v>
      </c>
      <c r="AO108" s="31">
        <f>H108*0</f>
        <v>0</v>
      </c>
      <c r="AP108" s="31">
        <f>H108*(1-0)</f>
        <v>80.5</v>
      </c>
      <c r="AQ108" s="32" t="s">
        <v>59</v>
      </c>
      <c r="AV108" s="31">
        <f>AW108+AX108</f>
        <v>77673.029175000003</v>
      </c>
      <c r="AW108" s="31">
        <f>G108*AO108</f>
        <v>0</v>
      </c>
      <c r="AX108" s="31">
        <f>G108*AP108</f>
        <v>77673.029175000003</v>
      </c>
      <c r="AY108" s="32" t="s">
        <v>189</v>
      </c>
      <c r="AZ108" s="32" t="s">
        <v>87</v>
      </c>
      <c r="BA108" s="12" t="s">
        <v>65</v>
      </c>
      <c r="BC108" s="31">
        <f>AW108+AX108</f>
        <v>77673.029175000003</v>
      </c>
      <c r="BD108" s="31">
        <f>H108/(100-BE108)*100</f>
        <v>80.5</v>
      </c>
      <c r="BE108" s="31">
        <v>0</v>
      </c>
      <c r="BF108" s="31">
        <f>O108</f>
        <v>0</v>
      </c>
      <c r="BH108" s="31">
        <f>G108*AO108</f>
        <v>0</v>
      </c>
      <c r="BI108" s="31">
        <f>G108*AP108</f>
        <v>77673.029175000003</v>
      </c>
      <c r="BJ108" s="31">
        <f>G108*H108</f>
        <v>77673.029175000003</v>
      </c>
      <c r="BK108" s="31"/>
      <c r="BL108" s="31">
        <v>16</v>
      </c>
      <c r="BW108" s="31" t="str">
        <f>I108</f>
        <v>21</v>
      </c>
      <c r="BX108" s="4" t="s">
        <v>212</v>
      </c>
    </row>
    <row r="109" spans="1:76">
      <c r="A109" s="34"/>
      <c r="D109" s="35" t="s">
        <v>213</v>
      </c>
      <c r="E109" s="35" t="s">
        <v>56</v>
      </c>
      <c r="G109" s="36">
        <v>1977.4142300000001</v>
      </c>
      <c r="P109" s="37"/>
    </row>
    <row r="110" spans="1:76">
      <c r="A110" s="34"/>
      <c r="D110" s="35" t="s">
        <v>214</v>
      </c>
      <c r="E110" s="35" t="s">
        <v>56</v>
      </c>
      <c r="G110" s="36">
        <v>-14.892749999999999</v>
      </c>
      <c r="P110" s="37"/>
    </row>
    <row r="111" spans="1:76">
      <c r="A111" s="34"/>
      <c r="D111" s="35" t="s">
        <v>215</v>
      </c>
      <c r="E111" s="35" t="s">
        <v>56</v>
      </c>
      <c r="G111" s="36">
        <v>-997.63913000000002</v>
      </c>
      <c r="P111" s="37"/>
    </row>
    <row r="112" spans="1:76">
      <c r="A112" s="2" t="s">
        <v>216</v>
      </c>
      <c r="B112" s="3" t="s">
        <v>56</v>
      </c>
      <c r="C112" s="3" t="s">
        <v>217</v>
      </c>
      <c r="D112" s="74" t="s">
        <v>218</v>
      </c>
      <c r="E112" s="75"/>
      <c r="F112" s="3" t="s">
        <v>118</v>
      </c>
      <c r="G112" s="31">
        <v>964.88234999999997</v>
      </c>
      <c r="H112" s="31">
        <v>119.5</v>
      </c>
      <c r="I112" s="32" t="s">
        <v>63</v>
      </c>
      <c r="J112" s="31">
        <f>G112*AO112</f>
        <v>0</v>
      </c>
      <c r="K112" s="31">
        <f>G112*AP112</f>
        <v>115303.440825</v>
      </c>
      <c r="L112" s="31">
        <f>G112*H112</f>
        <v>115303.440825</v>
      </c>
      <c r="M112" s="31">
        <f>L112*(1+BW112/100)</f>
        <v>139517.16339825001</v>
      </c>
      <c r="N112" s="31">
        <v>0</v>
      </c>
      <c r="O112" s="31">
        <f>G112*N112</f>
        <v>0</v>
      </c>
      <c r="P112" s="33" t="s">
        <v>85</v>
      </c>
      <c r="Z112" s="31">
        <f>IF(AQ112="5",BJ112,0)</f>
        <v>0</v>
      </c>
      <c r="AB112" s="31">
        <f>IF(AQ112="1",BH112,0)</f>
        <v>0</v>
      </c>
      <c r="AC112" s="31">
        <f>IF(AQ112="1",BI112,0)</f>
        <v>115303.440825</v>
      </c>
      <c r="AD112" s="31">
        <f>IF(AQ112="7",BH112,0)</f>
        <v>0</v>
      </c>
      <c r="AE112" s="31">
        <f>IF(AQ112="7",BI112,0)</f>
        <v>0</v>
      </c>
      <c r="AF112" s="31">
        <f>IF(AQ112="2",BH112,0)</f>
        <v>0</v>
      </c>
      <c r="AG112" s="31">
        <f>IF(AQ112="2",BI112,0)</f>
        <v>0</v>
      </c>
      <c r="AH112" s="31">
        <f>IF(AQ112="0",BJ112,0)</f>
        <v>0</v>
      </c>
      <c r="AI112" s="12" t="s">
        <v>56</v>
      </c>
      <c r="AJ112" s="31">
        <f>IF(AN112=0,L112,0)</f>
        <v>0</v>
      </c>
      <c r="AK112" s="31">
        <f>IF(AN112=12,L112,0)</f>
        <v>0</v>
      </c>
      <c r="AL112" s="31">
        <f>IF(AN112=21,L112,0)</f>
        <v>115303.440825</v>
      </c>
      <c r="AN112" s="31">
        <v>21</v>
      </c>
      <c r="AO112" s="31">
        <f>H112*0</f>
        <v>0</v>
      </c>
      <c r="AP112" s="31">
        <f>H112*(1-0)</f>
        <v>119.5</v>
      </c>
      <c r="AQ112" s="32" t="s">
        <v>59</v>
      </c>
      <c r="AV112" s="31">
        <f>AW112+AX112</f>
        <v>115303.440825</v>
      </c>
      <c r="AW112" s="31">
        <f>G112*AO112</f>
        <v>0</v>
      </c>
      <c r="AX112" s="31">
        <f>G112*AP112</f>
        <v>115303.440825</v>
      </c>
      <c r="AY112" s="32" t="s">
        <v>189</v>
      </c>
      <c r="AZ112" s="32" t="s">
        <v>87</v>
      </c>
      <c r="BA112" s="12" t="s">
        <v>65</v>
      </c>
      <c r="BC112" s="31">
        <f>AW112+AX112</f>
        <v>115303.440825</v>
      </c>
      <c r="BD112" s="31">
        <f>H112/(100-BE112)*100</f>
        <v>119.5</v>
      </c>
      <c r="BE112" s="31">
        <v>0</v>
      </c>
      <c r="BF112" s="31">
        <f>O112</f>
        <v>0</v>
      </c>
      <c r="BH112" s="31">
        <f>G112*AO112</f>
        <v>0</v>
      </c>
      <c r="BI112" s="31">
        <f>G112*AP112</f>
        <v>115303.440825</v>
      </c>
      <c r="BJ112" s="31">
        <f>G112*H112</f>
        <v>115303.440825</v>
      </c>
      <c r="BK112" s="31"/>
      <c r="BL112" s="31">
        <v>16</v>
      </c>
      <c r="BW112" s="31" t="str">
        <f>I112</f>
        <v>21</v>
      </c>
      <c r="BX112" s="4" t="s">
        <v>218</v>
      </c>
    </row>
    <row r="113" spans="1:76">
      <c r="A113" s="34"/>
      <c r="D113" s="35" t="s">
        <v>219</v>
      </c>
      <c r="E113" s="35" t="s">
        <v>56</v>
      </c>
      <c r="G113" s="36">
        <v>964.88234999999997</v>
      </c>
      <c r="P113" s="37"/>
    </row>
    <row r="114" spans="1:76">
      <c r="A114" s="2" t="s">
        <v>220</v>
      </c>
      <c r="B114" s="3" t="s">
        <v>56</v>
      </c>
      <c r="C114" s="3" t="s">
        <v>221</v>
      </c>
      <c r="D114" s="74" t="s">
        <v>222</v>
      </c>
      <c r="E114" s="75"/>
      <c r="F114" s="3" t="s">
        <v>118</v>
      </c>
      <c r="G114" s="31">
        <v>18332.764650000001</v>
      </c>
      <c r="H114" s="31">
        <v>23.89</v>
      </c>
      <c r="I114" s="32" t="s">
        <v>63</v>
      </c>
      <c r="J114" s="31">
        <f>G114*AO114</f>
        <v>0</v>
      </c>
      <c r="K114" s="31">
        <f>G114*AP114</f>
        <v>437969.74748850003</v>
      </c>
      <c r="L114" s="31">
        <f>G114*H114</f>
        <v>437969.74748850003</v>
      </c>
      <c r="M114" s="31">
        <f>L114*(1+BW114/100)</f>
        <v>529943.39446108497</v>
      </c>
      <c r="N114" s="31">
        <v>0</v>
      </c>
      <c r="O114" s="31">
        <f>G114*N114</f>
        <v>0</v>
      </c>
      <c r="P114" s="33" t="s">
        <v>85</v>
      </c>
      <c r="Z114" s="31">
        <f>IF(AQ114="5",BJ114,0)</f>
        <v>0</v>
      </c>
      <c r="AB114" s="31">
        <f>IF(AQ114="1",BH114,0)</f>
        <v>0</v>
      </c>
      <c r="AC114" s="31">
        <f>IF(AQ114="1",BI114,0)</f>
        <v>437969.74748850003</v>
      </c>
      <c r="AD114" s="31">
        <f>IF(AQ114="7",BH114,0)</f>
        <v>0</v>
      </c>
      <c r="AE114" s="31">
        <f>IF(AQ114="7",BI114,0)</f>
        <v>0</v>
      </c>
      <c r="AF114" s="31">
        <f>IF(AQ114="2",BH114,0)</f>
        <v>0</v>
      </c>
      <c r="AG114" s="31">
        <f>IF(AQ114="2",BI114,0)</f>
        <v>0</v>
      </c>
      <c r="AH114" s="31">
        <f>IF(AQ114="0",BJ114,0)</f>
        <v>0</v>
      </c>
      <c r="AI114" s="12" t="s">
        <v>56</v>
      </c>
      <c r="AJ114" s="31">
        <f>IF(AN114=0,L114,0)</f>
        <v>0</v>
      </c>
      <c r="AK114" s="31">
        <f>IF(AN114=12,L114,0)</f>
        <v>0</v>
      </c>
      <c r="AL114" s="31">
        <f>IF(AN114=21,L114,0)</f>
        <v>437969.74748850003</v>
      </c>
      <c r="AN114" s="31">
        <v>21</v>
      </c>
      <c r="AO114" s="31">
        <f>H114*0</f>
        <v>0</v>
      </c>
      <c r="AP114" s="31">
        <f>H114*(1-0)</f>
        <v>23.89</v>
      </c>
      <c r="AQ114" s="32" t="s">
        <v>59</v>
      </c>
      <c r="AV114" s="31">
        <f>AW114+AX114</f>
        <v>437969.74748850003</v>
      </c>
      <c r="AW114" s="31">
        <f>G114*AO114</f>
        <v>0</v>
      </c>
      <c r="AX114" s="31">
        <f>G114*AP114</f>
        <v>437969.74748850003</v>
      </c>
      <c r="AY114" s="32" t="s">
        <v>189</v>
      </c>
      <c r="AZ114" s="32" t="s">
        <v>87</v>
      </c>
      <c r="BA114" s="12" t="s">
        <v>65</v>
      </c>
      <c r="BC114" s="31">
        <f>AW114+AX114</f>
        <v>437969.74748850003</v>
      </c>
      <c r="BD114" s="31">
        <f>H114/(100-BE114)*100</f>
        <v>23.89</v>
      </c>
      <c r="BE114" s="31">
        <v>0</v>
      </c>
      <c r="BF114" s="31">
        <f>O114</f>
        <v>0</v>
      </c>
      <c r="BH114" s="31">
        <f>G114*AO114</f>
        <v>0</v>
      </c>
      <c r="BI114" s="31">
        <f>G114*AP114</f>
        <v>437969.74748850003</v>
      </c>
      <c r="BJ114" s="31">
        <f>G114*H114</f>
        <v>437969.74748850003</v>
      </c>
      <c r="BK114" s="31"/>
      <c r="BL114" s="31">
        <v>16</v>
      </c>
      <c r="BW114" s="31" t="str">
        <f>I114</f>
        <v>21</v>
      </c>
      <c r="BX114" s="4" t="s">
        <v>222</v>
      </c>
    </row>
    <row r="115" spans="1:76">
      <c r="A115" s="34"/>
      <c r="D115" s="35" t="s">
        <v>223</v>
      </c>
      <c r="E115" s="35" t="s">
        <v>56</v>
      </c>
      <c r="G115" s="36">
        <v>18332.764650000001</v>
      </c>
      <c r="P115" s="37"/>
    </row>
    <row r="116" spans="1:76">
      <c r="A116" s="38" t="s">
        <v>56</v>
      </c>
      <c r="B116" s="39" t="s">
        <v>56</v>
      </c>
      <c r="C116" s="39" t="s">
        <v>158</v>
      </c>
      <c r="D116" s="76" t="s">
        <v>224</v>
      </c>
      <c r="E116" s="77"/>
      <c r="F116" s="40" t="s">
        <v>4</v>
      </c>
      <c r="G116" s="40" t="s">
        <v>4</v>
      </c>
      <c r="H116" s="40" t="s">
        <v>4</v>
      </c>
      <c r="I116" s="40" t="s">
        <v>4</v>
      </c>
      <c r="J116" s="1">
        <f>SUM(J117:J148)</f>
        <v>376930.72109660256</v>
      </c>
      <c r="K116" s="1">
        <f>SUM(K117:K148)</f>
        <v>1533209.7348957977</v>
      </c>
      <c r="L116" s="1">
        <f>SUM(L117:L148)</f>
        <v>1910140.4559924002</v>
      </c>
      <c r="M116" s="1">
        <f>SUM(M117:M148)</f>
        <v>2311269.9517508042</v>
      </c>
      <c r="N116" s="12" t="s">
        <v>56</v>
      </c>
      <c r="O116" s="1">
        <f>SUM(O117:O148)</f>
        <v>1253.9328767</v>
      </c>
      <c r="P116" s="41" t="s">
        <v>56</v>
      </c>
      <c r="AI116" s="12" t="s">
        <v>56</v>
      </c>
      <c r="AS116" s="1">
        <f>SUM(AJ117:AJ148)</f>
        <v>0</v>
      </c>
      <c r="AT116" s="1">
        <f>SUM(AK117:AK148)</f>
        <v>0</v>
      </c>
      <c r="AU116" s="1">
        <f>SUM(AL117:AL148)</f>
        <v>1910140.4559924002</v>
      </c>
    </row>
    <row r="117" spans="1:76">
      <c r="A117" s="2" t="s">
        <v>225</v>
      </c>
      <c r="B117" s="3" t="s">
        <v>56</v>
      </c>
      <c r="C117" s="3" t="s">
        <v>226</v>
      </c>
      <c r="D117" s="74" t="s">
        <v>227</v>
      </c>
      <c r="E117" s="75"/>
      <c r="F117" s="3" t="s">
        <v>118</v>
      </c>
      <c r="G117" s="31">
        <v>14.892749999999999</v>
      </c>
      <c r="H117" s="31">
        <v>147</v>
      </c>
      <c r="I117" s="32" t="s">
        <v>63</v>
      </c>
      <c r="J117" s="31">
        <f>G117*AO117</f>
        <v>0</v>
      </c>
      <c r="K117" s="31">
        <f>G117*AP117</f>
        <v>2189.23425</v>
      </c>
      <c r="L117" s="31">
        <f>G117*H117</f>
        <v>2189.23425</v>
      </c>
      <c r="M117" s="31">
        <f>L117*(1+BW117/100)</f>
        <v>2648.9734424999997</v>
      </c>
      <c r="N117" s="31">
        <v>0</v>
      </c>
      <c r="O117" s="31">
        <f>G117*N117</f>
        <v>0</v>
      </c>
      <c r="P117" s="33" t="s">
        <v>85</v>
      </c>
      <c r="Z117" s="31">
        <f>IF(AQ117="5",BJ117,0)</f>
        <v>0</v>
      </c>
      <c r="AB117" s="31">
        <f>IF(AQ117="1",BH117,0)</f>
        <v>0</v>
      </c>
      <c r="AC117" s="31">
        <f>IF(AQ117="1",BI117,0)</f>
        <v>2189.23425</v>
      </c>
      <c r="AD117" s="31">
        <f>IF(AQ117="7",BH117,0)</f>
        <v>0</v>
      </c>
      <c r="AE117" s="31">
        <f>IF(AQ117="7",BI117,0)</f>
        <v>0</v>
      </c>
      <c r="AF117" s="31">
        <f>IF(AQ117="2",BH117,0)</f>
        <v>0</v>
      </c>
      <c r="AG117" s="31">
        <f>IF(AQ117="2",BI117,0)</f>
        <v>0</v>
      </c>
      <c r="AH117" s="31">
        <f>IF(AQ117="0",BJ117,0)</f>
        <v>0</v>
      </c>
      <c r="AI117" s="12" t="s">
        <v>56</v>
      </c>
      <c r="AJ117" s="31">
        <f>IF(AN117=0,L117,0)</f>
        <v>0</v>
      </c>
      <c r="AK117" s="31">
        <f>IF(AN117=12,L117,0)</f>
        <v>0</v>
      </c>
      <c r="AL117" s="31">
        <f>IF(AN117=21,L117,0)</f>
        <v>2189.23425</v>
      </c>
      <c r="AN117" s="31">
        <v>21</v>
      </c>
      <c r="AO117" s="31">
        <f>H117*0</f>
        <v>0</v>
      </c>
      <c r="AP117" s="31">
        <f>H117*(1-0)</f>
        <v>147</v>
      </c>
      <c r="AQ117" s="32" t="s">
        <v>59</v>
      </c>
      <c r="AV117" s="31">
        <f>AW117+AX117</f>
        <v>2189.23425</v>
      </c>
      <c r="AW117" s="31">
        <f>G117*AO117</f>
        <v>0</v>
      </c>
      <c r="AX117" s="31">
        <f>G117*AP117</f>
        <v>2189.23425</v>
      </c>
      <c r="AY117" s="32" t="s">
        <v>228</v>
      </c>
      <c r="AZ117" s="32" t="s">
        <v>87</v>
      </c>
      <c r="BA117" s="12" t="s">
        <v>65</v>
      </c>
      <c r="BC117" s="31">
        <f>AW117+AX117</f>
        <v>2189.23425</v>
      </c>
      <c r="BD117" s="31">
        <f>H117/(100-BE117)*100</f>
        <v>147</v>
      </c>
      <c r="BE117" s="31">
        <v>0</v>
      </c>
      <c r="BF117" s="31">
        <f>O117</f>
        <v>0</v>
      </c>
      <c r="BH117" s="31">
        <f>G117*AO117</f>
        <v>0</v>
      </c>
      <c r="BI117" s="31">
        <f>G117*AP117</f>
        <v>2189.23425</v>
      </c>
      <c r="BJ117" s="31">
        <f>G117*H117</f>
        <v>2189.23425</v>
      </c>
      <c r="BK117" s="31"/>
      <c r="BL117" s="31">
        <v>17</v>
      </c>
      <c r="BW117" s="31" t="str">
        <f>I117</f>
        <v>21</v>
      </c>
      <c r="BX117" s="4" t="s">
        <v>227</v>
      </c>
    </row>
    <row r="118" spans="1:76">
      <c r="A118" s="34"/>
      <c r="D118" s="35" t="s">
        <v>229</v>
      </c>
      <c r="E118" s="35" t="s">
        <v>56</v>
      </c>
      <c r="G118" s="36">
        <v>16.649999999999999</v>
      </c>
      <c r="P118" s="37"/>
    </row>
    <row r="119" spans="1:76">
      <c r="A119" s="34"/>
      <c r="D119" s="35" t="s">
        <v>230</v>
      </c>
      <c r="E119" s="35" t="s">
        <v>56</v>
      </c>
      <c r="G119" s="36">
        <v>-0.18</v>
      </c>
      <c r="P119" s="37"/>
    </row>
    <row r="120" spans="1:76">
      <c r="A120" s="34"/>
      <c r="D120" s="35" t="s">
        <v>231</v>
      </c>
      <c r="E120" s="35" t="s">
        <v>56</v>
      </c>
      <c r="G120" s="36">
        <v>-0.125</v>
      </c>
      <c r="P120" s="37"/>
    </row>
    <row r="121" spans="1:76">
      <c r="A121" s="34"/>
      <c r="D121" s="35" t="s">
        <v>232</v>
      </c>
      <c r="E121" s="35" t="s">
        <v>56</v>
      </c>
      <c r="G121" s="36">
        <v>-1.45225</v>
      </c>
      <c r="P121" s="37"/>
    </row>
    <row r="122" spans="1:76">
      <c r="A122" s="2" t="s">
        <v>233</v>
      </c>
      <c r="B122" s="3" t="s">
        <v>56</v>
      </c>
      <c r="C122" s="3" t="s">
        <v>234</v>
      </c>
      <c r="D122" s="74" t="s">
        <v>235</v>
      </c>
      <c r="E122" s="75"/>
      <c r="F122" s="3" t="s">
        <v>118</v>
      </c>
      <c r="G122" s="31">
        <v>750.85801000000004</v>
      </c>
      <c r="H122" s="31">
        <v>1637.94</v>
      </c>
      <c r="I122" s="32" t="s">
        <v>63</v>
      </c>
      <c r="J122" s="31">
        <f>G122*AO122</f>
        <v>376930.72109660256</v>
      </c>
      <c r="K122" s="31">
        <f>G122*AP122</f>
        <v>852929.6478027975</v>
      </c>
      <c r="L122" s="31">
        <f>G122*H122</f>
        <v>1229860.3688994001</v>
      </c>
      <c r="M122" s="31">
        <f>L122*(1+BW122/100)</f>
        <v>1488131.0463682741</v>
      </c>
      <c r="N122" s="31">
        <v>1.67</v>
      </c>
      <c r="O122" s="31">
        <f>G122*N122</f>
        <v>1253.9328767</v>
      </c>
      <c r="P122" s="33" t="s">
        <v>85</v>
      </c>
      <c r="Z122" s="31">
        <f>IF(AQ122="5",BJ122,0)</f>
        <v>0</v>
      </c>
      <c r="AB122" s="31">
        <f>IF(AQ122="1",BH122,0)</f>
        <v>376930.72109660256</v>
      </c>
      <c r="AC122" s="31">
        <f>IF(AQ122="1",BI122,0)</f>
        <v>852929.6478027975</v>
      </c>
      <c r="AD122" s="31">
        <f>IF(AQ122="7",BH122,0)</f>
        <v>0</v>
      </c>
      <c r="AE122" s="31">
        <f>IF(AQ122="7",BI122,0)</f>
        <v>0</v>
      </c>
      <c r="AF122" s="31">
        <f>IF(AQ122="2",BH122,0)</f>
        <v>0</v>
      </c>
      <c r="AG122" s="31">
        <f>IF(AQ122="2",BI122,0)</f>
        <v>0</v>
      </c>
      <c r="AH122" s="31">
        <f>IF(AQ122="0",BJ122,0)</f>
        <v>0</v>
      </c>
      <c r="AI122" s="12" t="s">
        <v>56</v>
      </c>
      <c r="AJ122" s="31">
        <f>IF(AN122=0,L122,0)</f>
        <v>0</v>
      </c>
      <c r="AK122" s="31">
        <f>IF(AN122=12,L122,0)</f>
        <v>0</v>
      </c>
      <c r="AL122" s="31">
        <f>IF(AN122=21,L122,0)</f>
        <v>1229860.3688994001</v>
      </c>
      <c r="AN122" s="31">
        <v>21</v>
      </c>
      <c r="AO122" s="31">
        <f>H122*0.306482533</f>
        <v>502.00000010202001</v>
      </c>
      <c r="AP122" s="31">
        <f>H122*(1-0.306482533)</f>
        <v>1135.93999989798</v>
      </c>
      <c r="AQ122" s="32" t="s">
        <v>59</v>
      </c>
      <c r="AV122" s="31">
        <f>AW122+AX122</f>
        <v>1229860.3688994001</v>
      </c>
      <c r="AW122" s="31">
        <f>G122*AO122</f>
        <v>376930.72109660256</v>
      </c>
      <c r="AX122" s="31">
        <f>G122*AP122</f>
        <v>852929.6478027975</v>
      </c>
      <c r="AY122" s="32" t="s">
        <v>228</v>
      </c>
      <c r="AZ122" s="32" t="s">
        <v>87</v>
      </c>
      <c r="BA122" s="12" t="s">
        <v>65</v>
      </c>
      <c r="BC122" s="31">
        <f>AW122+AX122</f>
        <v>1229860.3688994001</v>
      </c>
      <c r="BD122" s="31">
        <f>H122/(100-BE122)*100</f>
        <v>1637.94</v>
      </c>
      <c r="BE122" s="31">
        <v>0</v>
      </c>
      <c r="BF122" s="31">
        <f>O122</f>
        <v>1253.9328767</v>
      </c>
      <c r="BH122" s="31">
        <f>G122*AO122</f>
        <v>376930.72109660256</v>
      </c>
      <c r="BI122" s="31">
        <f>G122*AP122</f>
        <v>852929.6478027975</v>
      </c>
      <c r="BJ122" s="31">
        <f>G122*H122</f>
        <v>1229860.3688994001</v>
      </c>
      <c r="BK122" s="31"/>
      <c r="BL122" s="31">
        <v>17</v>
      </c>
      <c r="BW122" s="31" t="str">
        <f>I122</f>
        <v>21</v>
      </c>
      <c r="BX122" s="4" t="s">
        <v>235</v>
      </c>
    </row>
    <row r="123" spans="1:76">
      <c r="A123" s="34"/>
      <c r="D123" s="35" t="s">
        <v>236</v>
      </c>
      <c r="E123" s="35" t="s">
        <v>56</v>
      </c>
      <c r="G123" s="36">
        <v>158.28720000000001</v>
      </c>
      <c r="P123" s="37"/>
    </row>
    <row r="124" spans="1:76">
      <c r="A124" s="34"/>
      <c r="D124" s="35" t="s">
        <v>237</v>
      </c>
      <c r="E124" s="35" t="s">
        <v>56</v>
      </c>
      <c r="G124" s="36">
        <v>-19.199310000000001</v>
      </c>
      <c r="P124" s="37"/>
    </row>
    <row r="125" spans="1:76">
      <c r="A125" s="34"/>
      <c r="D125" s="35" t="s">
        <v>238</v>
      </c>
      <c r="E125" s="35" t="s">
        <v>56</v>
      </c>
      <c r="G125" s="36">
        <v>14.52</v>
      </c>
      <c r="P125" s="37"/>
    </row>
    <row r="126" spans="1:76">
      <c r="A126" s="34"/>
      <c r="D126" s="35" t="s">
        <v>239</v>
      </c>
      <c r="E126" s="35" t="s">
        <v>56</v>
      </c>
      <c r="G126" s="36">
        <v>-0.50773999999999997</v>
      </c>
      <c r="P126" s="37"/>
    </row>
    <row r="127" spans="1:76">
      <c r="A127" s="34"/>
      <c r="D127" s="35" t="s">
        <v>240</v>
      </c>
      <c r="E127" s="35" t="s">
        <v>56</v>
      </c>
      <c r="G127" s="36">
        <v>32.097999999999999</v>
      </c>
      <c r="P127" s="37"/>
    </row>
    <row r="128" spans="1:76">
      <c r="A128" s="34"/>
      <c r="D128" s="35" t="s">
        <v>241</v>
      </c>
      <c r="E128" s="35" t="s">
        <v>56</v>
      </c>
      <c r="G128" s="36">
        <v>-1.1224099999999999</v>
      </c>
      <c r="P128" s="37"/>
    </row>
    <row r="129" spans="1:76">
      <c r="A129" s="34"/>
      <c r="D129" s="35" t="s">
        <v>130</v>
      </c>
      <c r="E129" s="35" t="s">
        <v>56</v>
      </c>
      <c r="G129" s="36">
        <v>0</v>
      </c>
      <c r="P129" s="37"/>
    </row>
    <row r="130" spans="1:76">
      <c r="A130" s="34"/>
      <c r="D130" s="35" t="s">
        <v>242</v>
      </c>
      <c r="E130" s="35" t="s">
        <v>56</v>
      </c>
      <c r="G130" s="36">
        <v>34.155679999999997</v>
      </c>
      <c r="P130" s="37"/>
    </row>
    <row r="131" spans="1:76">
      <c r="A131" s="34"/>
      <c r="D131" s="35" t="s">
        <v>243</v>
      </c>
      <c r="E131" s="35" t="s">
        <v>56</v>
      </c>
      <c r="G131" s="36">
        <v>-3.7111700000000001</v>
      </c>
      <c r="P131" s="37"/>
    </row>
    <row r="132" spans="1:76">
      <c r="A132" s="34"/>
      <c r="D132" s="35" t="s">
        <v>133</v>
      </c>
      <c r="E132" s="35" t="s">
        <v>56</v>
      </c>
      <c r="G132" s="36">
        <v>0</v>
      </c>
      <c r="P132" s="37"/>
    </row>
    <row r="133" spans="1:76">
      <c r="A133" s="34"/>
      <c r="D133" s="35" t="s">
        <v>244</v>
      </c>
      <c r="E133" s="35" t="s">
        <v>56</v>
      </c>
      <c r="G133" s="36">
        <v>600.91044999999997</v>
      </c>
      <c r="P133" s="37"/>
    </row>
    <row r="134" spans="1:76">
      <c r="A134" s="34"/>
      <c r="D134" s="35" t="s">
        <v>245</v>
      </c>
      <c r="E134" s="35" t="s">
        <v>56</v>
      </c>
      <c r="G134" s="36">
        <v>0</v>
      </c>
      <c r="P134" s="37"/>
    </row>
    <row r="135" spans="1:76">
      <c r="A135" s="34"/>
      <c r="D135" s="35" t="s">
        <v>246</v>
      </c>
      <c r="E135" s="35" t="s">
        <v>56</v>
      </c>
      <c r="G135" s="36">
        <v>-13.62257</v>
      </c>
      <c r="P135" s="37"/>
    </row>
    <row r="136" spans="1:76">
      <c r="A136" s="34"/>
      <c r="D136" s="35" t="s">
        <v>247</v>
      </c>
      <c r="E136" s="35" t="s">
        <v>56</v>
      </c>
      <c r="G136" s="36">
        <v>-8.8189499999999992</v>
      </c>
      <c r="P136" s="37"/>
    </row>
    <row r="137" spans="1:76">
      <c r="A137" s="34"/>
      <c r="D137" s="35" t="s">
        <v>248</v>
      </c>
      <c r="E137" s="35" t="s">
        <v>56</v>
      </c>
      <c r="G137" s="36">
        <v>-42.131169999999997</v>
      </c>
      <c r="P137" s="37"/>
    </row>
    <row r="138" spans="1:76">
      <c r="A138" s="34"/>
      <c r="D138" s="35" t="s">
        <v>249</v>
      </c>
      <c r="E138" s="35" t="s">
        <v>56</v>
      </c>
      <c r="G138" s="36">
        <v>0</v>
      </c>
      <c r="P138" s="37"/>
    </row>
    <row r="139" spans="1:76">
      <c r="A139" s="34"/>
      <c r="D139" s="35" t="s">
        <v>135</v>
      </c>
      <c r="E139" s="35" t="s">
        <v>56</v>
      </c>
      <c r="G139" s="36">
        <v>0</v>
      </c>
      <c r="P139" s="37"/>
    </row>
    <row r="140" spans="1:76">
      <c r="A140" s="2" t="s">
        <v>250</v>
      </c>
      <c r="B140" s="3" t="s">
        <v>56</v>
      </c>
      <c r="C140" s="3" t="s">
        <v>226</v>
      </c>
      <c r="D140" s="74" t="s">
        <v>251</v>
      </c>
      <c r="E140" s="75"/>
      <c r="F140" s="3" t="s">
        <v>118</v>
      </c>
      <c r="G140" s="31">
        <v>997.63913000000002</v>
      </c>
      <c r="H140" s="31">
        <v>147</v>
      </c>
      <c r="I140" s="32" t="s">
        <v>63</v>
      </c>
      <c r="J140" s="31">
        <f>G140*AO140</f>
        <v>0</v>
      </c>
      <c r="K140" s="31">
        <f>G140*AP140</f>
        <v>146652.95211000001</v>
      </c>
      <c r="L140" s="31">
        <f>G140*H140</f>
        <v>146652.95211000001</v>
      </c>
      <c r="M140" s="31">
        <f>L140*(1+BW140/100)</f>
        <v>177450.07205310001</v>
      </c>
      <c r="N140" s="31">
        <v>0</v>
      </c>
      <c r="O140" s="31">
        <f>G140*N140</f>
        <v>0</v>
      </c>
      <c r="P140" s="33" t="s">
        <v>85</v>
      </c>
      <c r="Z140" s="31">
        <f>IF(AQ140="5",BJ140,0)</f>
        <v>0</v>
      </c>
      <c r="AB140" s="31">
        <f>IF(AQ140="1",BH140,0)</f>
        <v>0</v>
      </c>
      <c r="AC140" s="31">
        <f>IF(AQ140="1",BI140,0)</f>
        <v>146652.95211000001</v>
      </c>
      <c r="AD140" s="31">
        <f>IF(AQ140="7",BH140,0)</f>
        <v>0</v>
      </c>
      <c r="AE140" s="31">
        <f>IF(AQ140="7",BI140,0)</f>
        <v>0</v>
      </c>
      <c r="AF140" s="31">
        <f>IF(AQ140="2",BH140,0)</f>
        <v>0</v>
      </c>
      <c r="AG140" s="31">
        <f>IF(AQ140="2",BI140,0)</f>
        <v>0</v>
      </c>
      <c r="AH140" s="31">
        <f>IF(AQ140="0",BJ140,0)</f>
        <v>0</v>
      </c>
      <c r="AI140" s="12" t="s">
        <v>56</v>
      </c>
      <c r="AJ140" s="31">
        <f>IF(AN140=0,L140,0)</f>
        <v>0</v>
      </c>
      <c r="AK140" s="31">
        <f>IF(AN140=12,L140,0)</f>
        <v>0</v>
      </c>
      <c r="AL140" s="31">
        <f>IF(AN140=21,L140,0)</f>
        <v>146652.95211000001</v>
      </c>
      <c r="AN140" s="31">
        <v>21</v>
      </c>
      <c r="AO140" s="31">
        <f>H140*0</f>
        <v>0</v>
      </c>
      <c r="AP140" s="31">
        <f>H140*(1-0)</f>
        <v>147</v>
      </c>
      <c r="AQ140" s="32" t="s">
        <v>59</v>
      </c>
      <c r="AV140" s="31">
        <f>AW140+AX140</f>
        <v>146652.95211000001</v>
      </c>
      <c r="AW140" s="31">
        <f>G140*AO140</f>
        <v>0</v>
      </c>
      <c r="AX140" s="31">
        <f>G140*AP140</f>
        <v>146652.95211000001</v>
      </c>
      <c r="AY140" s="32" t="s">
        <v>228</v>
      </c>
      <c r="AZ140" s="32" t="s">
        <v>87</v>
      </c>
      <c r="BA140" s="12" t="s">
        <v>65</v>
      </c>
      <c r="BC140" s="31">
        <f>AW140+AX140</f>
        <v>146652.95211000001</v>
      </c>
      <c r="BD140" s="31">
        <f>H140/(100-BE140)*100</f>
        <v>147</v>
      </c>
      <c r="BE140" s="31">
        <v>0</v>
      </c>
      <c r="BF140" s="31">
        <f>O140</f>
        <v>0</v>
      </c>
      <c r="BH140" s="31">
        <f>G140*AO140</f>
        <v>0</v>
      </c>
      <c r="BI140" s="31">
        <f>G140*AP140</f>
        <v>146652.95211000001</v>
      </c>
      <c r="BJ140" s="31">
        <f>G140*H140</f>
        <v>146652.95211000001</v>
      </c>
      <c r="BK140" s="31"/>
      <c r="BL140" s="31">
        <v>17</v>
      </c>
      <c r="BW140" s="31" t="str">
        <f>I140</f>
        <v>21</v>
      </c>
      <c r="BX140" s="4" t="s">
        <v>251</v>
      </c>
    </row>
    <row r="141" spans="1:76">
      <c r="A141" s="34"/>
      <c r="D141" s="35" t="s">
        <v>252</v>
      </c>
      <c r="E141" s="35" t="s">
        <v>56</v>
      </c>
      <c r="G141" s="36">
        <v>1960.76423</v>
      </c>
      <c r="P141" s="37"/>
    </row>
    <row r="142" spans="1:76">
      <c r="A142" s="34"/>
      <c r="D142" s="35" t="s">
        <v>253</v>
      </c>
      <c r="E142" s="35" t="s">
        <v>56</v>
      </c>
      <c r="G142" s="36">
        <v>-212.26709</v>
      </c>
      <c r="P142" s="37"/>
    </row>
    <row r="143" spans="1:76">
      <c r="A143" s="34"/>
      <c r="D143" s="35" t="s">
        <v>254</v>
      </c>
      <c r="E143" s="35" t="s">
        <v>56</v>
      </c>
      <c r="G143" s="36">
        <v>-750.85801000000004</v>
      </c>
      <c r="P143" s="37"/>
    </row>
    <row r="144" spans="1:76">
      <c r="A144" s="2" t="s">
        <v>255</v>
      </c>
      <c r="B144" s="3" t="s">
        <v>56</v>
      </c>
      <c r="C144" s="3" t="s">
        <v>256</v>
      </c>
      <c r="D144" s="74" t="s">
        <v>257</v>
      </c>
      <c r="E144" s="75"/>
      <c r="F144" s="3" t="s">
        <v>118</v>
      </c>
      <c r="G144" s="31">
        <v>964.88234999999997</v>
      </c>
      <c r="H144" s="31">
        <v>18.89</v>
      </c>
      <c r="I144" s="32" t="s">
        <v>63</v>
      </c>
      <c r="J144" s="31">
        <f>G144*AO144</f>
        <v>0</v>
      </c>
      <c r="K144" s="31">
        <f>G144*AP144</f>
        <v>18226.627591500001</v>
      </c>
      <c r="L144" s="31">
        <f>G144*H144</f>
        <v>18226.627591500001</v>
      </c>
      <c r="M144" s="31">
        <f>L144*(1+BW144/100)</f>
        <v>22054.219385715001</v>
      </c>
      <c r="N144" s="31">
        <v>0</v>
      </c>
      <c r="O144" s="31">
        <f>G144*N144</f>
        <v>0</v>
      </c>
      <c r="P144" s="33" t="s">
        <v>85</v>
      </c>
      <c r="Z144" s="31">
        <f>IF(AQ144="5",BJ144,0)</f>
        <v>0</v>
      </c>
      <c r="AB144" s="31">
        <f>IF(AQ144="1",BH144,0)</f>
        <v>0</v>
      </c>
      <c r="AC144" s="31">
        <f>IF(AQ144="1",BI144,0)</f>
        <v>18226.627591500001</v>
      </c>
      <c r="AD144" s="31">
        <f>IF(AQ144="7",BH144,0)</f>
        <v>0</v>
      </c>
      <c r="AE144" s="31">
        <f>IF(AQ144="7",BI144,0)</f>
        <v>0</v>
      </c>
      <c r="AF144" s="31">
        <f>IF(AQ144="2",BH144,0)</f>
        <v>0</v>
      </c>
      <c r="AG144" s="31">
        <f>IF(AQ144="2",BI144,0)</f>
        <v>0</v>
      </c>
      <c r="AH144" s="31">
        <f>IF(AQ144="0",BJ144,0)</f>
        <v>0</v>
      </c>
      <c r="AI144" s="12" t="s">
        <v>56</v>
      </c>
      <c r="AJ144" s="31">
        <f>IF(AN144=0,L144,0)</f>
        <v>0</v>
      </c>
      <c r="AK144" s="31">
        <f>IF(AN144=12,L144,0)</f>
        <v>0</v>
      </c>
      <c r="AL144" s="31">
        <f>IF(AN144=21,L144,0)</f>
        <v>18226.627591500001</v>
      </c>
      <c r="AN144" s="31">
        <v>21</v>
      </c>
      <c r="AO144" s="31">
        <f>H144*0</f>
        <v>0</v>
      </c>
      <c r="AP144" s="31">
        <f>H144*(1-0)</f>
        <v>18.89</v>
      </c>
      <c r="AQ144" s="32" t="s">
        <v>59</v>
      </c>
      <c r="AV144" s="31">
        <f>AW144+AX144</f>
        <v>18226.627591500001</v>
      </c>
      <c r="AW144" s="31">
        <f>G144*AO144</f>
        <v>0</v>
      </c>
      <c r="AX144" s="31">
        <f>G144*AP144</f>
        <v>18226.627591500001</v>
      </c>
      <c r="AY144" s="32" t="s">
        <v>228</v>
      </c>
      <c r="AZ144" s="32" t="s">
        <v>87</v>
      </c>
      <c r="BA144" s="12" t="s">
        <v>65</v>
      </c>
      <c r="BC144" s="31">
        <f>AW144+AX144</f>
        <v>18226.627591500001</v>
      </c>
      <c r="BD144" s="31">
        <f>H144/(100-BE144)*100</f>
        <v>18.89</v>
      </c>
      <c r="BE144" s="31">
        <v>0</v>
      </c>
      <c r="BF144" s="31">
        <f>O144</f>
        <v>0</v>
      </c>
      <c r="BH144" s="31">
        <f>G144*AO144</f>
        <v>0</v>
      </c>
      <c r="BI144" s="31">
        <f>G144*AP144</f>
        <v>18226.627591500001</v>
      </c>
      <c r="BJ144" s="31">
        <f>G144*H144</f>
        <v>18226.627591500001</v>
      </c>
      <c r="BK144" s="31"/>
      <c r="BL144" s="31">
        <v>17</v>
      </c>
      <c r="BW144" s="31" t="str">
        <f>I144</f>
        <v>21</v>
      </c>
      <c r="BX144" s="4" t="s">
        <v>257</v>
      </c>
    </row>
    <row r="145" spans="1:76">
      <c r="A145" s="34"/>
      <c r="D145" s="35" t="s">
        <v>258</v>
      </c>
      <c r="E145" s="35" t="s">
        <v>56</v>
      </c>
      <c r="G145" s="36">
        <v>964.88234999999997</v>
      </c>
      <c r="P145" s="37"/>
    </row>
    <row r="146" spans="1:76">
      <c r="A146" s="2" t="s">
        <v>259</v>
      </c>
      <c r="B146" s="3" t="s">
        <v>56</v>
      </c>
      <c r="C146" s="3" t="s">
        <v>256</v>
      </c>
      <c r="D146" s="74" t="s">
        <v>260</v>
      </c>
      <c r="E146" s="75"/>
      <c r="F146" s="3" t="s">
        <v>118</v>
      </c>
      <c r="G146" s="31">
        <v>964.88234999999997</v>
      </c>
      <c r="H146" s="31">
        <v>18.89</v>
      </c>
      <c r="I146" s="32" t="s">
        <v>63</v>
      </c>
      <c r="J146" s="31">
        <f>G146*AO146</f>
        <v>0</v>
      </c>
      <c r="K146" s="31">
        <f>G146*AP146</f>
        <v>18226.627591500001</v>
      </c>
      <c r="L146" s="31">
        <f>G146*H146</f>
        <v>18226.627591500001</v>
      </c>
      <c r="M146" s="31">
        <f>L146*(1+BW146/100)</f>
        <v>22054.219385715001</v>
      </c>
      <c r="N146" s="31">
        <v>0</v>
      </c>
      <c r="O146" s="31">
        <f>G146*N146</f>
        <v>0</v>
      </c>
      <c r="P146" s="33" t="s">
        <v>85</v>
      </c>
      <c r="Z146" s="31">
        <f>IF(AQ146="5",BJ146,0)</f>
        <v>0</v>
      </c>
      <c r="AB146" s="31">
        <f>IF(AQ146="1",BH146,0)</f>
        <v>0</v>
      </c>
      <c r="AC146" s="31">
        <f>IF(AQ146="1",BI146,0)</f>
        <v>18226.627591500001</v>
      </c>
      <c r="AD146" s="31">
        <f>IF(AQ146="7",BH146,0)</f>
        <v>0</v>
      </c>
      <c r="AE146" s="31">
        <f>IF(AQ146="7",BI146,0)</f>
        <v>0</v>
      </c>
      <c r="AF146" s="31">
        <f>IF(AQ146="2",BH146,0)</f>
        <v>0</v>
      </c>
      <c r="AG146" s="31">
        <f>IF(AQ146="2",BI146,0)</f>
        <v>0</v>
      </c>
      <c r="AH146" s="31">
        <f>IF(AQ146="0",BJ146,0)</f>
        <v>0</v>
      </c>
      <c r="AI146" s="12" t="s">
        <v>56</v>
      </c>
      <c r="AJ146" s="31">
        <f>IF(AN146=0,L146,0)</f>
        <v>0</v>
      </c>
      <c r="AK146" s="31">
        <f>IF(AN146=12,L146,0)</f>
        <v>0</v>
      </c>
      <c r="AL146" s="31">
        <f>IF(AN146=21,L146,0)</f>
        <v>18226.627591500001</v>
      </c>
      <c r="AN146" s="31">
        <v>21</v>
      </c>
      <c r="AO146" s="31">
        <f>H146*0</f>
        <v>0</v>
      </c>
      <c r="AP146" s="31">
        <f>H146*(1-0)</f>
        <v>18.89</v>
      </c>
      <c r="AQ146" s="32" t="s">
        <v>59</v>
      </c>
      <c r="AV146" s="31">
        <f>AW146+AX146</f>
        <v>18226.627591500001</v>
      </c>
      <c r="AW146" s="31">
        <f>G146*AO146</f>
        <v>0</v>
      </c>
      <c r="AX146" s="31">
        <f>G146*AP146</f>
        <v>18226.627591500001</v>
      </c>
      <c r="AY146" s="32" t="s">
        <v>228</v>
      </c>
      <c r="AZ146" s="32" t="s">
        <v>87</v>
      </c>
      <c r="BA146" s="12" t="s">
        <v>65</v>
      </c>
      <c r="BC146" s="31">
        <f>AW146+AX146</f>
        <v>18226.627591500001</v>
      </c>
      <c r="BD146" s="31">
        <f>H146/(100-BE146)*100</f>
        <v>18.89</v>
      </c>
      <c r="BE146" s="31">
        <v>0</v>
      </c>
      <c r="BF146" s="31">
        <f>O146</f>
        <v>0</v>
      </c>
      <c r="BH146" s="31">
        <f>G146*AO146</f>
        <v>0</v>
      </c>
      <c r="BI146" s="31">
        <f>G146*AP146</f>
        <v>18226.627591500001</v>
      </c>
      <c r="BJ146" s="31">
        <f>G146*H146</f>
        <v>18226.627591500001</v>
      </c>
      <c r="BK146" s="31"/>
      <c r="BL146" s="31">
        <v>17</v>
      </c>
      <c r="BW146" s="31" t="str">
        <f>I146</f>
        <v>21</v>
      </c>
      <c r="BX146" s="4" t="s">
        <v>260</v>
      </c>
    </row>
    <row r="147" spans="1:76">
      <c r="A147" s="34"/>
      <c r="D147" s="35" t="s">
        <v>219</v>
      </c>
      <c r="E147" s="35" t="s">
        <v>56</v>
      </c>
      <c r="G147" s="36">
        <v>964.88234999999997</v>
      </c>
      <c r="P147" s="37"/>
    </row>
    <row r="148" spans="1:76">
      <c r="A148" s="2" t="s">
        <v>261</v>
      </c>
      <c r="B148" s="3" t="s">
        <v>56</v>
      </c>
      <c r="C148" s="3" t="s">
        <v>262</v>
      </c>
      <c r="D148" s="74" t="s">
        <v>263</v>
      </c>
      <c r="E148" s="75"/>
      <c r="F148" s="3" t="s">
        <v>118</v>
      </c>
      <c r="G148" s="31">
        <v>964.88234999999997</v>
      </c>
      <c r="H148" s="31">
        <v>513</v>
      </c>
      <c r="I148" s="32" t="s">
        <v>63</v>
      </c>
      <c r="J148" s="31">
        <f>G148*AO148</f>
        <v>0</v>
      </c>
      <c r="K148" s="31">
        <f>G148*AP148</f>
        <v>494984.64555000002</v>
      </c>
      <c r="L148" s="31">
        <f>G148*H148</f>
        <v>494984.64555000002</v>
      </c>
      <c r="M148" s="31">
        <f>L148*(1+BW148/100)</f>
        <v>598931.42111550004</v>
      </c>
      <c r="N148" s="31">
        <v>0</v>
      </c>
      <c r="O148" s="31">
        <f>G148*N148</f>
        <v>0</v>
      </c>
      <c r="P148" s="33" t="s">
        <v>85</v>
      </c>
      <c r="Z148" s="31">
        <f>IF(AQ148="5",BJ148,0)</f>
        <v>0</v>
      </c>
      <c r="AB148" s="31">
        <f>IF(AQ148="1",BH148,0)</f>
        <v>0</v>
      </c>
      <c r="AC148" s="31">
        <f>IF(AQ148="1",BI148,0)</f>
        <v>494984.64555000002</v>
      </c>
      <c r="AD148" s="31">
        <f>IF(AQ148="7",BH148,0)</f>
        <v>0</v>
      </c>
      <c r="AE148" s="31">
        <f>IF(AQ148="7",BI148,0)</f>
        <v>0</v>
      </c>
      <c r="AF148" s="31">
        <f>IF(AQ148="2",BH148,0)</f>
        <v>0</v>
      </c>
      <c r="AG148" s="31">
        <f>IF(AQ148="2",BI148,0)</f>
        <v>0</v>
      </c>
      <c r="AH148" s="31">
        <f>IF(AQ148="0",BJ148,0)</f>
        <v>0</v>
      </c>
      <c r="AI148" s="12" t="s">
        <v>56</v>
      </c>
      <c r="AJ148" s="31">
        <f>IF(AN148=0,L148,0)</f>
        <v>0</v>
      </c>
      <c r="AK148" s="31">
        <f>IF(AN148=12,L148,0)</f>
        <v>0</v>
      </c>
      <c r="AL148" s="31">
        <f>IF(AN148=21,L148,0)</f>
        <v>494984.64555000002</v>
      </c>
      <c r="AN148" s="31">
        <v>21</v>
      </c>
      <c r="AO148" s="31">
        <f>H148*0</f>
        <v>0</v>
      </c>
      <c r="AP148" s="31">
        <f>H148*(1-0)</f>
        <v>513</v>
      </c>
      <c r="AQ148" s="32" t="s">
        <v>59</v>
      </c>
      <c r="AV148" s="31">
        <f>AW148+AX148</f>
        <v>494984.64555000002</v>
      </c>
      <c r="AW148" s="31">
        <f>G148*AO148</f>
        <v>0</v>
      </c>
      <c r="AX148" s="31">
        <f>G148*AP148</f>
        <v>494984.64555000002</v>
      </c>
      <c r="AY148" s="32" t="s">
        <v>228</v>
      </c>
      <c r="AZ148" s="32" t="s">
        <v>87</v>
      </c>
      <c r="BA148" s="12" t="s">
        <v>65</v>
      </c>
      <c r="BC148" s="31">
        <f>AW148+AX148</f>
        <v>494984.64555000002</v>
      </c>
      <c r="BD148" s="31">
        <f>H148/(100-BE148)*100</f>
        <v>513</v>
      </c>
      <c r="BE148" s="31">
        <v>0</v>
      </c>
      <c r="BF148" s="31">
        <f>O148</f>
        <v>0</v>
      </c>
      <c r="BH148" s="31">
        <f>G148*AO148</f>
        <v>0</v>
      </c>
      <c r="BI148" s="31">
        <f>G148*AP148</f>
        <v>494984.64555000002</v>
      </c>
      <c r="BJ148" s="31">
        <f>G148*H148</f>
        <v>494984.64555000002</v>
      </c>
      <c r="BK148" s="31"/>
      <c r="BL148" s="31">
        <v>17</v>
      </c>
      <c r="BW148" s="31" t="str">
        <f>I148</f>
        <v>21</v>
      </c>
      <c r="BX148" s="4" t="s">
        <v>263</v>
      </c>
    </row>
    <row r="149" spans="1:76">
      <c r="A149" s="34"/>
      <c r="D149" s="35" t="s">
        <v>264</v>
      </c>
      <c r="E149" s="35" t="s">
        <v>56</v>
      </c>
      <c r="G149" s="36">
        <v>964.88234999999997</v>
      </c>
      <c r="P149" s="37"/>
    </row>
    <row r="150" spans="1:76">
      <c r="A150" s="38" t="s">
        <v>56</v>
      </c>
      <c r="B150" s="39" t="s">
        <v>56</v>
      </c>
      <c r="C150" s="39" t="s">
        <v>163</v>
      </c>
      <c r="D150" s="76" t="s">
        <v>265</v>
      </c>
      <c r="E150" s="77"/>
      <c r="F150" s="40" t="s">
        <v>4</v>
      </c>
      <c r="G150" s="40" t="s">
        <v>4</v>
      </c>
      <c r="H150" s="40" t="s">
        <v>4</v>
      </c>
      <c r="I150" s="40" t="s">
        <v>4</v>
      </c>
      <c r="J150" s="1">
        <f>SUM(J151:J154)</f>
        <v>369133.56000025466</v>
      </c>
      <c r="K150" s="1">
        <f>SUM(K151:K154)</f>
        <v>253736.45999974536</v>
      </c>
      <c r="L150" s="1">
        <f>SUM(L151:L154)</f>
        <v>622870.02</v>
      </c>
      <c r="M150" s="1">
        <f>SUM(M151:M154)</f>
        <v>753672.72420000006</v>
      </c>
      <c r="N150" s="12" t="s">
        <v>56</v>
      </c>
      <c r="O150" s="1">
        <f>SUM(O151:O154)</f>
        <v>0</v>
      </c>
      <c r="P150" s="41" t="s">
        <v>56</v>
      </c>
      <c r="AI150" s="12" t="s">
        <v>56</v>
      </c>
      <c r="AS150" s="1">
        <f>SUM(AJ151:AJ154)</f>
        <v>0</v>
      </c>
      <c r="AT150" s="1">
        <f>SUM(AK151:AK154)</f>
        <v>0</v>
      </c>
      <c r="AU150" s="1">
        <f>SUM(AL151:AL154)</f>
        <v>622870.02</v>
      </c>
    </row>
    <row r="151" spans="1:76">
      <c r="A151" s="2" t="s">
        <v>266</v>
      </c>
      <c r="B151" s="3" t="s">
        <v>56</v>
      </c>
      <c r="C151" s="3" t="s">
        <v>267</v>
      </c>
      <c r="D151" s="74" t="s">
        <v>268</v>
      </c>
      <c r="E151" s="75"/>
      <c r="F151" s="3" t="s">
        <v>77</v>
      </c>
      <c r="G151" s="31">
        <v>2</v>
      </c>
      <c r="H151" s="31">
        <v>3935.01</v>
      </c>
      <c r="I151" s="32" t="s">
        <v>63</v>
      </c>
      <c r="J151" s="31">
        <f>G151*AO151</f>
        <v>133.56000025463999</v>
      </c>
      <c r="K151" s="31">
        <f>G151*AP151</f>
        <v>7736.4599997453606</v>
      </c>
      <c r="L151" s="31">
        <f>G151*H151</f>
        <v>7870.02</v>
      </c>
      <c r="M151" s="31">
        <f>L151*(1+BW151/100)</f>
        <v>9522.7242000000006</v>
      </c>
      <c r="N151" s="31">
        <v>0</v>
      </c>
      <c r="O151" s="31">
        <f>G151*N151</f>
        <v>0</v>
      </c>
      <c r="P151" s="33" t="s">
        <v>85</v>
      </c>
      <c r="Z151" s="31">
        <f>IF(AQ151="5",BJ151,0)</f>
        <v>0</v>
      </c>
      <c r="AB151" s="31">
        <f>IF(AQ151="1",BH151,0)</f>
        <v>133.56000025463999</v>
      </c>
      <c r="AC151" s="31">
        <f>IF(AQ151="1",BI151,0)</f>
        <v>7736.4599997453606</v>
      </c>
      <c r="AD151" s="31">
        <f>IF(AQ151="7",BH151,0)</f>
        <v>0</v>
      </c>
      <c r="AE151" s="31">
        <f>IF(AQ151="7",BI151,0)</f>
        <v>0</v>
      </c>
      <c r="AF151" s="31">
        <f>IF(AQ151="2",BH151,0)</f>
        <v>0</v>
      </c>
      <c r="AG151" s="31">
        <f>IF(AQ151="2",BI151,0)</f>
        <v>0</v>
      </c>
      <c r="AH151" s="31">
        <f>IF(AQ151="0",BJ151,0)</f>
        <v>0</v>
      </c>
      <c r="AI151" s="12" t="s">
        <v>56</v>
      </c>
      <c r="AJ151" s="31">
        <f>IF(AN151=0,L151,0)</f>
        <v>0</v>
      </c>
      <c r="AK151" s="31">
        <f>IF(AN151=12,L151,0)</f>
        <v>0</v>
      </c>
      <c r="AL151" s="31">
        <f>IF(AN151=21,L151,0)</f>
        <v>7870.02</v>
      </c>
      <c r="AN151" s="31">
        <v>21</v>
      </c>
      <c r="AO151" s="31">
        <f>H151*0.016970732</f>
        <v>66.780000127319994</v>
      </c>
      <c r="AP151" s="31">
        <f>H151*(1-0.016970732)</f>
        <v>3868.2299998726803</v>
      </c>
      <c r="AQ151" s="32" t="s">
        <v>59</v>
      </c>
      <c r="AV151" s="31">
        <f>AW151+AX151</f>
        <v>7870.02</v>
      </c>
      <c r="AW151" s="31">
        <f>G151*AO151</f>
        <v>133.56000025463999</v>
      </c>
      <c r="AX151" s="31">
        <f>G151*AP151</f>
        <v>7736.4599997453606</v>
      </c>
      <c r="AY151" s="32" t="s">
        <v>269</v>
      </c>
      <c r="AZ151" s="32" t="s">
        <v>87</v>
      </c>
      <c r="BA151" s="12" t="s">
        <v>65</v>
      </c>
      <c r="BC151" s="31">
        <f>AW151+AX151</f>
        <v>7870.02</v>
      </c>
      <c r="BD151" s="31">
        <f>H151/(100-BE151)*100</f>
        <v>3935.0100000000007</v>
      </c>
      <c r="BE151" s="31">
        <v>0</v>
      </c>
      <c r="BF151" s="31">
        <f>O151</f>
        <v>0</v>
      </c>
      <c r="BH151" s="31">
        <f>G151*AO151</f>
        <v>133.56000025463999</v>
      </c>
      <c r="BI151" s="31">
        <f>G151*AP151</f>
        <v>7736.4599997453606</v>
      </c>
      <c r="BJ151" s="31">
        <f>G151*H151</f>
        <v>7870.02</v>
      </c>
      <c r="BK151" s="31"/>
      <c r="BL151" s="31">
        <v>18</v>
      </c>
      <c r="BW151" s="31" t="str">
        <f>I151</f>
        <v>21</v>
      </c>
      <c r="BX151" s="4" t="s">
        <v>268</v>
      </c>
    </row>
    <row r="152" spans="1:76">
      <c r="A152" s="34"/>
      <c r="D152" s="35" t="s">
        <v>270</v>
      </c>
      <c r="E152" s="35" t="s">
        <v>56</v>
      </c>
      <c r="G152" s="36">
        <v>1</v>
      </c>
      <c r="P152" s="37"/>
    </row>
    <row r="153" spans="1:76">
      <c r="A153" s="34"/>
      <c r="D153" s="35" t="s">
        <v>271</v>
      </c>
      <c r="E153" s="35" t="s">
        <v>56</v>
      </c>
      <c r="G153" s="36">
        <v>1</v>
      </c>
      <c r="P153" s="37"/>
    </row>
    <row r="154" spans="1:76">
      <c r="A154" s="2" t="s">
        <v>272</v>
      </c>
      <c r="B154" s="3" t="s">
        <v>56</v>
      </c>
      <c r="C154" s="3" t="s">
        <v>273</v>
      </c>
      <c r="D154" s="74" t="s">
        <v>274</v>
      </c>
      <c r="E154" s="75"/>
      <c r="F154" s="3" t="s">
        <v>77</v>
      </c>
      <c r="G154" s="31">
        <v>41</v>
      </c>
      <c r="H154" s="31">
        <v>15000</v>
      </c>
      <c r="I154" s="32" t="s">
        <v>63</v>
      </c>
      <c r="J154" s="31">
        <f>G154*AO154</f>
        <v>369000</v>
      </c>
      <c r="K154" s="31">
        <f>G154*AP154</f>
        <v>246000</v>
      </c>
      <c r="L154" s="31">
        <f>G154*H154</f>
        <v>615000</v>
      </c>
      <c r="M154" s="31">
        <f>L154*(1+BW154/100)</f>
        <v>744150</v>
      </c>
      <c r="N154" s="31">
        <v>0</v>
      </c>
      <c r="O154" s="31">
        <f>G154*N154</f>
        <v>0</v>
      </c>
      <c r="P154" s="33" t="s">
        <v>56</v>
      </c>
      <c r="Z154" s="31">
        <f>IF(AQ154="5",BJ154,0)</f>
        <v>0</v>
      </c>
      <c r="AB154" s="31">
        <f>IF(AQ154="1",BH154,0)</f>
        <v>369000</v>
      </c>
      <c r="AC154" s="31">
        <f>IF(AQ154="1",BI154,0)</f>
        <v>246000</v>
      </c>
      <c r="AD154" s="31">
        <f>IF(AQ154="7",BH154,0)</f>
        <v>0</v>
      </c>
      <c r="AE154" s="31">
        <f>IF(AQ154="7",BI154,0)</f>
        <v>0</v>
      </c>
      <c r="AF154" s="31">
        <f>IF(AQ154="2",BH154,0)</f>
        <v>0</v>
      </c>
      <c r="AG154" s="31">
        <f>IF(AQ154="2",BI154,0)</f>
        <v>0</v>
      </c>
      <c r="AH154" s="31">
        <f>IF(AQ154="0",BJ154,0)</f>
        <v>0</v>
      </c>
      <c r="AI154" s="12" t="s">
        <v>56</v>
      </c>
      <c r="AJ154" s="31">
        <f>IF(AN154=0,L154,0)</f>
        <v>0</v>
      </c>
      <c r="AK154" s="31">
        <f>IF(AN154=12,L154,0)</f>
        <v>0</v>
      </c>
      <c r="AL154" s="31">
        <f>IF(AN154=21,L154,0)</f>
        <v>615000</v>
      </c>
      <c r="AN154" s="31">
        <v>21</v>
      </c>
      <c r="AO154" s="31">
        <f>H154*0.6</f>
        <v>9000</v>
      </c>
      <c r="AP154" s="31">
        <f>H154*(1-0.6)</f>
        <v>6000</v>
      </c>
      <c r="AQ154" s="32" t="s">
        <v>59</v>
      </c>
      <c r="AV154" s="31">
        <f>AW154+AX154</f>
        <v>615000</v>
      </c>
      <c r="AW154" s="31">
        <f>G154*AO154</f>
        <v>369000</v>
      </c>
      <c r="AX154" s="31">
        <f>G154*AP154</f>
        <v>246000</v>
      </c>
      <c r="AY154" s="32" t="s">
        <v>269</v>
      </c>
      <c r="AZ154" s="32" t="s">
        <v>87</v>
      </c>
      <c r="BA154" s="12" t="s">
        <v>65</v>
      </c>
      <c r="BC154" s="31">
        <f>AW154+AX154</f>
        <v>615000</v>
      </c>
      <c r="BD154" s="31">
        <f>H154/(100-BE154)*100</f>
        <v>15000</v>
      </c>
      <c r="BE154" s="31">
        <v>0</v>
      </c>
      <c r="BF154" s="31">
        <f>O154</f>
        <v>0</v>
      </c>
      <c r="BH154" s="31">
        <f>G154*AO154</f>
        <v>369000</v>
      </c>
      <c r="BI154" s="31">
        <f>G154*AP154</f>
        <v>246000</v>
      </c>
      <c r="BJ154" s="31">
        <f>G154*H154</f>
        <v>615000</v>
      </c>
      <c r="BK154" s="31"/>
      <c r="BL154" s="31">
        <v>18</v>
      </c>
      <c r="BW154" s="31" t="str">
        <f>I154</f>
        <v>21</v>
      </c>
      <c r="BX154" s="4" t="s">
        <v>274</v>
      </c>
    </row>
    <row r="155" spans="1:76">
      <c r="A155" s="34"/>
      <c r="D155" s="35" t="s">
        <v>275</v>
      </c>
      <c r="E155" s="35" t="s">
        <v>56</v>
      </c>
      <c r="G155" s="36">
        <v>41</v>
      </c>
      <c r="P155" s="37"/>
    </row>
    <row r="156" spans="1:76">
      <c r="A156" s="34"/>
      <c r="D156" s="35" t="s">
        <v>276</v>
      </c>
      <c r="E156" s="35" t="s">
        <v>56</v>
      </c>
      <c r="G156" s="36">
        <v>0</v>
      </c>
      <c r="P156" s="37"/>
    </row>
    <row r="157" spans="1:76">
      <c r="A157" s="34"/>
      <c r="D157" s="35" t="s">
        <v>277</v>
      </c>
      <c r="E157" s="35" t="s">
        <v>56</v>
      </c>
      <c r="G157" s="36">
        <v>0</v>
      </c>
      <c r="P157" s="37"/>
    </row>
    <row r="158" spans="1:76">
      <c r="A158" s="34"/>
      <c r="D158" s="35" t="s">
        <v>278</v>
      </c>
      <c r="E158" s="35" t="s">
        <v>56</v>
      </c>
      <c r="G158" s="36">
        <v>0</v>
      </c>
      <c r="P158" s="37"/>
    </row>
    <row r="159" spans="1:76">
      <c r="A159" s="34"/>
      <c r="D159" s="35" t="s">
        <v>279</v>
      </c>
      <c r="E159" s="35" t="s">
        <v>56</v>
      </c>
      <c r="G159" s="36">
        <v>0</v>
      </c>
      <c r="P159" s="37"/>
    </row>
    <row r="160" spans="1:76">
      <c r="A160" s="34"/>
      <c r="D160" s="35" t="s">
        <v>280</v>
      </c>
      <c r="E160" s="35" t="s">
        <v>56</v>
      </c>
      <c r="G160" s="36">
        <v>0</v>
      </c>
      <c r="P160" s="37"/>
    </row>
    <row r="161" spans="1:76">
      <c r="A161" s="34"/>
      <c r="D161" s="35" t="s">
        <v>281</v>
      </c>
      <c r="E161" s="35" t="s">
        <v>56</v>
      </c>
      <c r="G161" s="36">
        <v>0</v>
      </c>
      <c r="P161" s="37"/>
    </row>
    <row r="162" spans="1:76">
      <c r="A162" s="34"/>
      <c r="D162" s="35" t="s">
        <v>282</v>
      </c>
      <c r="E162" s="35" t="s">
        <v>56</v>
      </c>
      <c r="G162" s="36">
        <v>0</v>
      </c>
      <c r="P162" s="37"/>
    </row>
    <row r="163" spans="1:76">
      <c r="A163" s="34"/>
      <c r="D163" s="35" t="s">
        <v>283</v>
      </c>
      <c r="E163" s="35" t="s">
        <v>56</v>
      </c>
      <c r="G163" s="36">
        <v>0</v>
      </c>
      <c r="P163" s="37"/>
    </row>
    <row r="164" spans="1:76">
      <c r="A164" s="34"/>
      <c r="D164" s="35" t="s">
        <v>284</v>
      </c>
      <c r="E164" s="35" t="s">
        <v>56</v>
      </c>
      <c r="G164" s="36">
        <v>0</v>
      </c>
      <c r="P164" s="37"/>
    </row>
    <row r="165" spans="1:76">
      <c r="A165" s="34"/>
      <c r="D165" s="35" t="s">
        <v>285</v>
      </c>
      <c r="E165" s="35" t="s">
        <v>56</v>
      </c>
      <c r="G165" s="36">
        <v>0</v>
      </c>
      <c r="P165" s="37"/>
    </row>
    <row r="166" spans="1:76">
      <c r="A166" s="34"/>
      <c r="D166" s="35" t="s">
        <v>286</v>
      </c>
      <c r="E166" s="35" t="s">
        <v>56</v>
      </c>
      <c r="G166" s="36">
        <v>0</v>
      </c>
      <c r="P166" s="37"/>
    </row>
    <row r="167" spans="1:76">
      <c r="A167" s="34"/>
      <c r="D167" s="35" t="s">
        <v>287</v>
      </c>
      <c r="E167" s="35" t="s">
        <v>56</v>
      </c>
      <c r="G167" s="36">
        <v>0</v>
      </c>
      <c r="P167" s="37"/>
    </row>
    <row r="168" spans="1:76">
      <c r="A168" s="34"/>
      <c r="D168" s="35" t="s">
        <v>288</v>
      </c>
      <c r="E168" s="35" t="s">
        <v>56</v>
      </c>
      <c r="G168" s="36">
        <v>0</v>
      </c>
      <c r="P168" s="37"/>
    </row>
    <row r="169" spans="1:76">
      <c r="A169" s="34"/>
      <c r="D169" s="35" t="s">
        <v>289</v>
      </c>
      <c r="E169" s="35" t="s">
        <v>56</v>
      </c>
      <c r="G169" s="36">
        <v>0</v>
      </c>
      <c r="P169" s="37"/>
    </row>
    <row r="170" spans="1:76">
      <c r="A170" s="34"/>
      <c r="D170" s="35" t="s">
        <v>290</v>
      </c>
      <c r="E170" s="35" t="s">
        <v>56</v>
      </c>
      <c r="G170" s="36">
        <v>0</v>
      </c>
      <c r="P170" s="37"/>
    </row>
    <row r="171" spans="1:76">
      <c r="A171" s="34"/>
      <c r="D171" s="35" t="s">
        <v>291</v>
      </c>
      <c r="E171" s="35" t="s">
        <v>56</v>
      </c>
      <c r="G171" s="36">
        <v>0</v>
      </c>
      <c r="P171" s="37"/>
    </row>
    <row r="172" spans="1:76">
      <c r="A172" s="34"/>
      <c r="D172" s="35" t="s">
        <v>292</v>
      </c>
      <c r="E172" s="35" t="s">
        <v>56</v>
      </c>
      <c r="G172" s="36">
        <v>0</v>
      </c>
      <c r="P172" s="37"/>
    </row>
    <row r="173" spans="1:76">
      <c r="A173" s="38" t="s">
        <v>56</v>
      </c>
      <c r="B173" s="39" t="s">
        <v>56</v>
      </c>
      <c r="C173" s="39" t="s">
        <v>63</v>
      </c>
      <c r="D173" s="76" t="s">
        <v>293</v>
      </c>
      <c r="E173" s="77"/>
      <c r="F173" s="40" t="s">
        <v>4</v>
      </c>
      <c r="G173" s="40" t="s">
        <v>4</v>
      </c>
      <c r="H173" s="40" t="s">
        <v>4</v>
      </c>
      <c r="I173" s="40" t="s">
        <v>4</v>
      </c>
      <c r="J173" s="1">
        <f>SUM(J174:J174)</f>
        <v>63730.706012191484</v>
      </c>
      <c r="K173" s="1">
        <f>SUM(K174:K174)</f>
        <v>49316.522787808528</v>
      </c>
      <c r="L173" s="1">
        <f>SUM(L174:L174)</f>
        <v>113047.22880000001</v>
      </c>
      <c r="M173" s="1">
        <f>SUM(M174:M174)</f>
        <v>136787.146848</v>
      </c>
      <c r="N173" s="12" t="s">
        <v>56</v>
      </c>
      <c r="O173" s="1">
        <f>SUM(O174:O174)</f>
        <v>169.74761760000001</v>
      </c>
      <c r="P173" s="41" t="s">
        <v>56</v>
      </c>
      <c r="AI173" s="12" t="s">
        <v>56</v>
      </c>
      <c r="AS173" s="1">
        <f>SUM(AJ174:AJ174)</f>
        <v>0</v>
      </c>
      <c r="AT173" s="1">
        <f>SUM(AK174:AK174)</f>
        <v>0</v>
      </c>
      <c r="AU173" s="1">
        <f>SUM(AL174:AL174)</f>
        <v>113047.22880000001</v>
      </c>
    </row>
    <row r="174" spans="1:76">
      <c r="A174" s="2" t="s">
        <v>294</v>
      </c>
      <c r="B174" s="3" t="s">
        <v>56</v>
      </c>
      <c r="C174" s="3" t="s">
        <v>295</v>
      </c>
      <c r="D174" s="74" t="s">
        <v>296</v>
      </c>
      <c r="E174" s="75"/>
      <c r="F174" s="3" t="s">
        <v>118</v>
      </c>
      <c r="G174" s="31">
        <v>88.387200000000007</v>
      </c>
      <c r="H174" s="31">
        <v>1279</v>
      </c>
      <c r="I174" s="32" t="s">
        <v>63</v>
      </c>
      <c r="J174" s="31">
        <f>G174*AO174</f>
        <v>63730.706012191484</v>
      </c>
      <c r="K174" s="31">
        <f>G174*AP174</f>
        <v>49316.522787808528</v>
      </c>
      <c r="L174" s="31">
        <f>G174*H174</f>
        <v>113047.22880000001</v>
      </c>
      <c r="M174" s="31">
        <f>L174*(1+BW174/100)</f>
        <v>136787.146848</v>
      </c>
      <c r="N174" s="31">
        <v>1.9205000000000001</v>
      </c>
      <c r="O174" s="31">
        <f>G174*N174</f>
        <v>169.74761760000001</v>
      </c>
      <c r="P174" s="33" t="s">
        <v>85</v>
      </c>
      <c r="Z174" s="31">
        <f>IF(AQ174="5",BJ174,0)</f>
        <v>0</v>
      </c>
      <c r="AB174" s="31">
        <f>IF(AQ174="1",BH174,0)</f>
        <v>63730.706012191484</v>
      </c>
      <c r="AC174" s="31">
        <f>IF(AQ174="1",BI174,0)</f>
        <v>49316.522787808528</v>
      </c>
      <c r="AD174" s="31">
        <f>IF(AQ174="7",BH174,0)</f>
        <v>0</v>
      </c>
      <c r="AE174" s="31">
        <f>IF(AQ174="7",BI174,0)</f>
        <v>0</v>
      </c>
      <c r="AF174" s="31">
        <f>IF(AQ174="2",BH174,0)</f>
        <v>0</v>
      </c>
      <c r="AG174" s="31">
        <f>IF(AQ174="2",BI174,0)</f>
        <v>0</v>
      </c>
      <c r="AH174" s="31">
        <f>IF(AQ174="0",BJ174,0)</f>
        <v>0</v>
      </c>
      <c r="AI174" s="12" t="s">
        <v>56</v>
      </c>
      <c r="AJ174" s="31">
        <f>IF(AN174=0,L174,0)</f>
        <v>0</v>
      </c>
      <c r="AK174" s="31">
        <f>IF(AN174=12,L174,0)</f>
        <v>0</v>
      </c>
      <c r="AL174" s="31">
        <f>IF(AN174=21,L174,0)</f>
        <v>113047.22880000001</v>
      </c>
      <c r="AN174" s="31">
        <v>21</v>
      </c>
      <c r="AO174" s="31">
        <f>H174*0.563752926</f>
        <v>721.03999235400011</v>
      </c>
      <c r="AP174" s="31">
        <f>H174*(1-0.563752926)</f>
        <v>557.96000764599989</v>
      </c>
      <c r="AQ174" s="32" t="s">
        <v>59</v>
      </c>
      <c r="AV174" s="31">
        <f>AW174+AX174</f>
        <v>113047.22880000001</v>
      </c>
      <c r="AW174" s="31">
        <f>G174*AO174</f>
        <v>63730.706012191484</v>
      </c>
      <c r="AX174" s="31">
        <f>G174*AP174</f>
        <v>49316.522787808528</v>
      </c>
      <c r="AY174" s="32" t="s">
        <v>297</v>
      </c>
      <c r="AZ174" s="32" t="s">
        <v>298</v>
      </c>
      <c r="BA174" s="12" t="s">
        <v>65</v>
      </c>
      <c r="BC174" s="31">
        <f>AW174+AX174</f>
        <v>113047.22880000001</v>
      </c>
      <c r="BD174" s="31">
        <f>H174/(100-BE174)*100</f>
        <v>1279</v>
      </c>
      <c r="BE174" s="31">
        <v>0</v>
      </c>
      <c r="BF174" s="31">
        <f>O174</f>
        <v>169.74761760000001</v>
      </c>
      <c r="BH174" s="31">
        <f>G174*AO174</f>
        <v>63730.706012191484</v>
      </c>
      <c r="BI174" s="31">
        <f>G174*AP174</f>
        <v>49316.522787808528</v>
      </c>
      <c r="BJ174" s="31">
        <f>G174*H174</f>
        <v>113047.22880000001</v>
      </c>
      <c r="BK174" s="31"/>
      <c r="BL174" s="31">
        <v>21</v>
      </c>
      <c r="BW174" s="31" t="str">
        <f>I174</f>
        <v>21</v>
      </c>
      <c r="BX174" s="4" t="s">
        <v>296</v>
      </c>
    </row>
    <row r="175" spans="1:76">
      <c r="A175" s="34"/>
      <c r="D175" s="35" t="s">
        <v>299</v>
      </c>
      <c r="E175" s="35" t="s">
        <v>56</v>
      </c>
      <c r="G175" s="36">
        <v>88.387200000000007</v>
      </c>
      <c r="P175" s="37"/>
    </row>
    <row r="176" spans="1:76">
      <c r="A176" s="38" t="s">
        <v>56</v>
      </c>
      <c r="B176" s="39" t="s">
        <v>56</v>
      </c>
      <c r="C176" s="39" t="s">
        <v>205</v>
      </c>
      <c r="D176" s="76" t="s">
        <v>300</v>
      </c>
      <c r="E176" s="77"/>
      <c r="F176" s="40" t="s">
        <v>4</v>
      </c>
      <c r="G176" s="40" t="s">
        <v>4</v>
      </c>
      <c r="H176" s="40" t="s">
        <v>4</v>
      </c>
      <c r="I176" s="40" t="s">
        <v>4</v>
      </c>
      <c r="J176" s="1">
        <f>SUM(J177:J181)</f>
        <v>437.83022154364949</v>
      </c>
      <c r="K176" s="1">
        <f>SUM(K177:K181)</f>
        <v>307.82165345635048</v>
      </c>
      <c r="L176" s="1">
        <f>SUM(L177:L181)</f>
        <v>745.65187500000002</v>
      </c>
      <c r="M176" s="1">
        <f>SUM(M177:M181)</f>
        <v>902.23876874999996</v>
      </c>
      <c r="N176" s="12" t="s">
        <v>56</v>
      </c>
      <c r="O176" s="1">
        <f>SUM(O177:O181)</f>
        <v>0.29582249999999999</v>
      </c>
      <c r="P176" s="41" t="s">
        <v>56</v>
      </c>
      <c r="AI176" s="12" t="s">
        <v>56</v>
      </c>
      <c r="AS176" s="1">
        <f>SUM(AJ177:AJ181)</f>
        <v>0</v>
      </c>
      <c r="AT176" s="1">
        <f>SUM(AK177:AK181)</f>
        <v>0</v>
      </c>
      <c r="AU176" s="1">
        <f>SUM(AL177:AL181)</f>
        <v>745.65187500000002</v>
      </c>
    </row>
    <row r="177" spans="1:76">
      <c r="A177" s="2" t="s">
        <v>301</v>
      </c>
      <c r="B177" s="3" t="s">
        <v>56</v>
      </c>
      <c r="C177" s="3" t="s">
        <v>302</v>
      </c>
      <c r="D177" s="74" t="s">
        <v>303</v>
      </c>
      <c r="E177" s="75"/>
      <c r="F177" s="3" t="s">
        <v>118</v>
      </c>
      <c r="G177" s="31">
        <v>0.1125</v>
      </c>
      <c r="H177" s="31">
        <v>3559.99</v>
      </c>
      <c r="I177" s="32" t="s">
        <v>63</v>
      </c>
      <c r="J177" s="31">
        <f>G177*AO177</f>
        <v>363.60347844104547</v>
      </c>
      <c r="K177" s="31">
        <f>G177*AP177</f>
        <v>36.895396558954488</v>
      </c>
      <c r="L177" s="31">
        <f>G177*H177</f>
        <v>400.498875</v>
      </c>
      <c r="M177" s="31">
        <f>L177*(1+BW177/100)</f>
        <v>484.60363874999996</v>
      </c>
      <c r="N177" s="31">
        <v>2.5249999999999999</v>
      </c>
      <c r="O177" s="31">
        <f>G177*N177</f>
        <v>0.2840625</v>
      </c>
      <c r="P177" s="33" t="s">
        <v>85</v>
      </c>
      <c r="Z177" s="31">
        <f>IF(AQ177="5",BJ177,0)</f>
        <v>0</v>
      </c>
      <c r="AB177" s="31">
        <f>IF(AQ177="1",BH177,0)</f>
        <v>363.60347844104547</v>
      </c>
      <c r="AC177" s="31">
        <f>IF(AQ177="1",BI177,0)</f>
        <v>36.895396558954488</v>
      </c>
      <c r="AD177" s="31">
        <f>IF(AQ177="7",BH177,0)</f>
        <v>0</v>
      </c>
      <c r="AE177" s="31">
        <f>IF(AQ177="7",BI177,0)</f>
        <v>0</v>
      </c>
      <c r="AF177" s="31">
        <f>IF(AQ177="2",BH177,0)</f>
        <v>0</v>
      </c>
      <c r="AG177" s="31">
        <f>IF(AQ177="2",BI177,0)</f>
        <v>0</v>
      </c>
      <c r="AH177" s="31">
        <f>IF(AQ177="0",BJ177,0)</f>
        <v>0</v>
      </c>
      <c r="AI177" s="12" t="s">
        <v>56</v>
      </c>
      <c r="AJ177" s="31">
        <f>IF(AN177=0,L177,0)</f>
        <v>0</v>
      </c>
      <c r="AK177" s="31">
        <f>IF(AN177=12,L177,0)</f>
        <v>0</v>
      </c>
      <c r="AL177" s="31">
        <f>IF(AN177=21,L177,0)</f>
        <v>400.498875</v>
      </c>
      <c r="AN177" s="31">
        <v>21</v>
      </c>
      <c r="AO177" s="31">
        <f>H177*0.907876404</f>
        <v>3232.0309194759598</v>
      </c>
      <c r="AP177" s="31">
        <f>H177*(1-0.907876404)</f>
        <v>327.9590805240399</v>
      </c>
      <c r="AQ177" s="32" t="s">
        <v>59</v>
      </c>
      <c r="AV177" s="31">
        <f>AW177+AX177</f>
        <v>400.49887499999994</v>
      </c>
      <c r="AW177" s="31">
        <f>G177*AO177</f>
        <v>363.60347844104547</v>
      </c>
      <c r="AX177" s="31">
        <f>G177*AP177</f>
        <v>36.895396558954488</v>
      </c>
      <c r="AY177" s="32" t="s">
        <v>304</v>
      </c>
      <c r="AZ177" s="32" t="s">
        <v>298</v>
      </c>
      <c r="BA177" s="12" t="s">
        <v>65</v>
      </c>
      <c r="BC177" s="31">
        <f>AW177+AX177</f>
        <v>400.49887499999994</v>
      </c>
      <c r="BD177" s="31">
        <f>H177/(100-BE177)*100</f>
        <v>3559.99</v>
      </c>
      <c r="BE177" s="31">
        <v>0</v>
      </c>
      <c r="BF177" s="31">
        <f>O177</f>
        <v>0.2840625</v>
      </c>
      <c r="BH177" s="31">
        <f>G177*AO177</f>
        <v>363.60347844104547</v>
      </c>
      <c r="BI177" s="31">
        <f>G177*AP177</f>
        <v>36.895396558954488</v>
      </c>
      <c r="BJ177" s="31">
        <f>G177*H177</f>
        <v>400.498875</v>
      </c>
      <c r="BK177" s="31"/>
      <c r="BL177" s="31">
        <v>27</v>
      </c>
      <c r="BW177" s="31" t="str">
        <f>I177</f>
        <v>21</v>
      </c>
      <c r="BX177" s="4" t="s">
        <v>303</v>
      </c>
    </row>
    <row r="178" spans="1:76">
      <c r="A178" s="34"/>
      <c r="D178" s="35" t="s">
        <v>305</v>
      </c>
      <c r="E178" s="35" t="s">
        <v>56</v>
      </c>
      <c r="G178" s="36">
        <v>0.1125</v>
      </c>
      <c r="P178" s="37"/>
    </row>
    <row r="179" spans="1:76">
      <c r="A179" s="2" t="s">
        <v>306</v>
      </c>
      <c r="B179" s="3" t="s">
        <v>56</v>
      </c>
      <c r="C179" s="3" t="s">
        <v>307</v>
      </c>
      <c r="D179" s="74" t="s">
        <v>308</v>
      </c>
      <c r="E179" s="75"/>
      <c r="F179" s="3" t="s">
        <v>100</v>
      </c>
      <c r="G179" s="31">
        <v>0.3</v>
      </c>
      <c r="H179" s="31">
        <v>999.01</v>
      </c>
      <c r="I179" s="32" t="s">
        <v>63</v>
      </c>
      <c r="J179" s="31">
        <f>G179*AO179</f>
        <v>74.226743102604004</v>
      </c>
      <c r="K179" s="31">
        <f>G179*AP179</f>
        <v>225.47625689739598</v>
      </c>
      <c r="L179" s="31">
        <f>G179*H179</f>
        <v>299.70299999999997</v>
      </c>
      <c r="M179" s="31">
        <f>L179*(1+BW179/100)</f>
        <v>362.64062999999993</v>
      </c>
      <c r="N179" s="31">
        <v>3.9199999999999999E-2</v>
      </c>
      <c r="O179" s="31">
        <f>G179*N179</f>
        <v>1.176E-2</v>
      </c>
      <c r="P179" s="33" t="s">
        <v>85</v>
      </c>
      <c r="Z179" s="31">
        <f>IF(AQ179="5",BJ179,0)</f>
        <v>0</v>
      </c>
      <c r="AB179" s="31">
        <f>IF(AQ179="1",BH179,0)</f>
        <v>74.226743102604004</v>
      </c>
      <c r="AC179" s="31">
        <f>IF(AQ179="1",BI179,0)</f>
        <v>225.47625689739598</v>
      </c>
      <c r="AD179" s="31">
        <f>IF(AQ179="7",BH179,0)</f>
        <v>0</v>
      </c>
      <c r="AE179" s="31">
        <f>IF(AQ179="7",BI179,0)</f>
        <v>0</v>
      </c>
      <c r="AF179" s="31">
        <f>IF(AQ179="2",BH179,0)</f>
        <v>0</v>
      </c>
      <c r="AG179" s="31">
        <f>IF(AQ179="2",BI179,0)</f>
        <v>0</v>
      </c>
      <c r="AH179" s="31">
        <f>IF(AQ179="0",BJ179,0)</f>
        <v>0</v>
      </c>
      <c r="AI179" s="12" t="s">
        <v>56</v>
      </c>
      <c r="AJ179" s="31">
        <f>IF(AN179=0,L179,0)</f>
        <v>0</v>
      </c>
      <c r="AK179" s="31">
        <f>IF(AN179=12,L179,0)</f>
        <v>0</v>
      </c>
      <c r="AL179" s="31">
        <f>IF(AN179=21,L179,0)</f>
        <v>299.70299999999997</v>
      </c>
      <c r="AN179" s="31">
        <v>21</v>
      </c>
      <c r="AO179" s="31">
        <f>H179*0.247667668</f>
        <v>247.42247700868</v>
      </c>
      <c r="AP179" s="31">
        <f>H179*(1-0.247667668)</f>
        <v>751.58752299131993</v>
      </c>
      <c r="AQ179" s="32" t="s">
        <v>59</v>
      </c>
      <c r="AV179" s="31">
        <f>AW179+AX179</f>
        <v>299.70299999999997</v>
      </c>
      <c r="AW179" s="31">
        <f>G179*AO179</f>
        <v>74.226743102604004</v>
      </c>
      <c r="AX179" s="31">
        <f>G179*AP179</f>
        <v>225.47625689739598</v>
      </c>
      <c r="AY179" s="32" t="s">
        <v>304</v>
      </c>
      <c r="AZ179" s="32" t="s">
        <v>298</v>
      </c>
      <c r="BA179" s="12" t="s">
        <v>65</v>
      </c>
      <c r="BC179" s="31">
        <f>AW179+AX179</f>
        <v>299.70299999999997</v>
      </c>
      <c r="BD179" s="31">
        <f>H179/(100-BE179)*100</f>
        <v>999.01</v>
      </c>
      <c r="BE179" s="31">
        <v>0</v>
      </c>
      <c r="BF179" s="31">
        <f>O179</f>
        <v>1.176E-2</v>
      </c>
      <c r="BH179" s="31">
        <f>G179*AO179</f>
        <v>74.226743102604004</v>
      </c>
      <c r="BI179" s="31">
        <f>G179*AP179</f>
        <v>225.47625689739598</v>
      </c>
      <c r="BJ179" s="31">
        <f>G179*H179</f>
        <v>299.70299999999997</v>
      </c>
      <c r="BK179" s="31"/>
      <c r="BL179" s="31">
        <v>27</v>
      </c>
      <c r="BW179" s="31" t="str">
        <f>I179</f>
        <v>21</v>
      </c>
      <c r="BX179" s="4" t="s">
        <v>308</v>
      </c>
    </row>
    <row r="180" spans="1:76">
      <c r="A180" s="34"/>
      <c r="D180" s="35" t="s">
        <v>309</v>
      </c>
      <c r="E180" s="35" t="s">
        <v>56</v>
      </c>
      <c r="G180" s="36">
        <v>0.3</v>
      </c>
      <c r="P180" s="37"/>
    </row>
    <row r="181" spans="1:76">
      <c r="A181" s="2" t="s">
        <v>310</v>
      </c>
      <c r="B181" s="3" t="s">
        <v>56</v>
      </c>
      <c r="C181" s="3" t="s">
        <v>311</v>
      </c>
      <c r="D181" s="74" t="s">
        <v>312</v>
      </c>
      <c r="E181" s="75"/>
      <c r="F181" s="3" t="s">
        <v>100</v>
      </c>
      <c r="G181" s="31">
        <v>0.3</v>
      </c>
      <c r="H181" s="31">
        <v>151.5</v>
      </c>
      <c r="I181" s="32" t="s">
        <v>63</v>
      </c>
      <c r="J181" s="31">
        <f>G181*AO181</f>
        <v>0</v>
      </c>
      <c r="K181" s="31">
        <f>G181*AP181</f>
        <v>45.449999999999996</v>
      </c>
      <c r="L181" s="31">
        <f>G181*H181</f>
        <v>45.449999999999996</v>
      </c>
      <c r="M181" s="31">
        <f>L181*(1+BW181/100)</f>
        <v>54.994499999999995</v>
      </c>
      <c r="N181" s="31">
        <v>0</v>
      </c>
      <c r="O181" s="31">
        <f>G181*N181</f>
        <v>0</v>
      </c>
      <c r="P181" s="33" t="s">
        <v>85</v>
      </c>
      <c r="Z181" s="31">
        <f>IF(AQ181="5",BJ181,0)</f>
        <v>0</v>
      </c>
      <c r="AB181" s="31">
        <f>IF(AQ181="1",BH181,0)</f>
        <v>0</v>
      </c>
      <c r="AC181" s="31">
        <f>IF(AQ181="1",BI181,0)</f>
        <v>45.449999999999996</v>
      </c>
      <c r="AD181" s="31">
        <f>IF(AQ181="7",BH181,0)</f>
        <v>0</v>
      </c>
      <c r="AE181" s="31">
        <f>IF(AQ181="7",BI181,0)</f>
        <v>0</v>
      </c>
      <c r="AF181" s="31">
        <f>IF(AQ181="2",BH181,0)</f>
        <v>0</v>
      </c>
      <c r="AG181" s="31">
        <f>IF(AQ181="2",BI181,0)</f>
        <v>0</v>
      </c>
      <c r="AH181" s="31">
        <f>IF(AQ181="0",BJ181,0)</f>
        <v>0</v>
      </c>
      <c r="AI181" s="12" t="s">
        <v>56</v>
      </c>
      <c r="AJ181" s="31">
        <f>IF(AN181=0,L181,0)</f>
        <v>0</v>
      </c>
      <c r="AK181" s="31">
        <f>IF(AN181=12,L181,0)</f>
        <v>0</v>
      </c>
      <c r="AL181" s="31">
        <f>IF(AN181=21,L181,0)</f>
        <v>45.449999999999996</v>
      </c>
      <c r="AN181" s="31">
        <v>21</v>
      </c>
      <c r="AO181" s="31">
        <f>H181*0</f>
        <v>0</v>
      </c>
      <c r="AP181" s="31">
        <f>H181*(1-0)</f>
        <v>151.5</v>
      </c>
      <c r="AQ181" s="32" t="s">
        <v>59</v>
      </c>
      <c r="AV181" s="31">
        <f>AW181+AX181</f>
        <v>45.449999999999996</v>
      </c>
      <c r="AW181" s="31">
        <f>G181*AO181</f>
        <v>0</v>
      </c>
      <c r="AX181" s="31">
        <f>G181*AP181</f>
        <v>45.449999999999996</v>
      </c>
      <c r="AY181" s="32" t="s">
        <v>304</v>
      </c>
      <c r="AZ181" s="32" t="s">
        <v>298</v>
      </c>
      <c r="BA181" s="12" t="s">
        <v>65</v>
      </c>
      <c r="BC181" s="31">
        <f>AW181+AX181</f>
        <v>45.449999999999996</v>
      </c>
      <c r="BD181" s="31">
        <f>H181/(100-BE181)*100</f>
        <v>151.5</v>
      </c>
      <c r="BE181" s="31">
        <v>0</v>
      </c>
      <c r="BF181" s="31">
        <f>O181</f>
        <v>0</v>
      </c>
      <c r="BH181" s="31">
        <f>G181*AO181</f>
        <v>0</v>
      </c>
      <c r="BI181" s="31">
        <f>G181*AP181</f>
        <v>45.449999999999996</v>
      </c>
      <c r="BJ181" s="31">
        <f>G181*H181</f>
        <v>45.449999999999996</v>
      </c>
      <c r="BK181" s="31"/>
      <c r="BL181" s="31">
        <v>27</v>
      </c>
      <c r="BW181" s="31" t="str">
        <f>I181</f>
        <v>21</v>
      </c>
      <c r="BX181" s="4" t="s">
        <v>312</v>
      </c>
    </row>
    <row r="182" spans="1:76">
      <c r="A182" s="34"/>
      <c r="D182" s="35" t="s">
        <v>313</v>
      </c>
      <c r="E182" s="35" t="s">
        <v>56</v>
      </c>
      <c r="G182" s="36">
        <v>0.3</v>
      </c>
      <c r="P182" s="37"/>
    </row>
    <row r="183" spans="1:76">
      <c r="A183" s="38" t="s">
        <v>56</v>
      </c>
      <c r="B183" s="39" t="s">
        <v>56</v>
      </c>
      <c r="C183" s="39" t="s">
        <v>314</v>
      </c>
      <c r="D183" s="76" t="s">
        <v>315</v>
      </c>
      <c r="E183" s="77"/>
      <c r="F183" s="40" t="s">
        <v>4</v>
      </c>
      <c r="G183" s="40" t="s">
        <v>4</v>
      </c>
      <c r="H183" s="40" t="s">
        <v>4</v>
      </c>
      <c r="I183" s="40" t="s">
        <v>4</v>
      </c>
      <c r="J183" s="1">
        <f>SUM(J184:J184)</f>
        <v>7999.999992</v>
      </c>
      <c r="K183" s="1">
        <f>SUM(K184:K184)</f>
        <v>16000.000007999999</v>
      </c>
      <c r="L183" s="1">
        <f>SUM(L184:L184)</f>
        <v>24000</v>
      </c>
      <c r="M183" s="1">
        <f>SUM(M184:M184)</f>
        <v>29040</v>
      </c>
      <c r="N183" s="12" t="s">
        <v>56</v>
      </c>
      <c r="O183" s="1">
        <f>SUM(O184:O184)</f>
        <v>0</v>
      </c>
      <c r="P183" s="41" t="s">
        <v>56</v>
      </c>
      <c r="AI183" s="12" t="s">
        <v>56</v>
      </c>
      <c r="AS183" s="1">
        <f>SUM(AJ184:AJ184)</f>
        <v>0</v>
      </c>
      <c r="AT183" s="1">
        <f>SUM(AK184:AK184)</f>
        <v>0</v>
      </c>
      <c r="AU183" s="1">
        <f>SUM(AL184:AL184)</f>
        <v>24000</v>
      </c>
    </row>
    <row r="184" spans="1:76">
      <c r="A184" s="2" t="s">
        <v>316</v>
      </c>
      <c r="B184" s="3" t="s">
        <v>56</v>
      </c>
      <c r="C184" s="3" t="s">
        <v>317</v>
      </c>
      <c r="D184" s="74" t="s">
        <v>318</v>
      </c>
      <c r="E184" s="75"/>
      <c r="F184" s="3" t="s">
        <v>77</v>
      </c>
      <c r="G184" s="31">
        <v>8</v>
      </c>
      <c r="H184" s="31">
        <v>3000</v>
      </c>
      <c r="I184" s="32" t="s">
        <v>63</v>
      </c>
      <c r="J184" s="31">
        <f>G184*AO184</f>
        <v>7999.999992</v>
      </c>
      <c r="K184" s="31">
        <f>G184*AP184</f>
        <v>16000.000007999999</v>
      </c>
      <c r="L184" s="31">
        <f>G184*H184</f>
        <v>24000</v>
      </c>
      <c r="M184" s="31">
        <f>L184*(1+BW184/100)</f>
        <v>29040</v>
      </c>
      <c r="N184" s="31">
        <v>0</v>
      </c>
      <c r="O184" s="31">
        <f>G184*N184</f>
        <v>0</v>
      </c>
      <c r="P184" s="33" t="s">
        <v>56</v>
      </c>
      <c r="Z184" s="31">
        <f>IF(AQ184="5",BJ184,0)</f>
        <v>0</v>
      </c>
      <c r="AB184" s="31">
        <f>IF(AQ184="1",BH184,0)</f>
        <v>7999.999992</v>
      </c>
      <c r="AC184" s="31">
        <f>IF(AQ184="1",BI184,0)</f>
        <v>16000.000007999999</v>
      </c>
      <c r="AD184" s="31">
        <f>IF(AQ184="7",BH184,0)</f>
        <v>0</v>
      </c>
      <c r="AE184" s="31">
        <f>IF(AQ184="7",BI184,0)</f>
        <v>0</v>
      </c>
      <c r="AF184" s="31">
        <f>IF(AQ184="2",BH184,0)</f>
        <v>0</v>
      </c>
      <c r="AG184" s="31">
        <f>IF(AQ184="2",BI184,0)</f>
        <v>0</v>
      </c>
      <c r="AH184" s="31">
        <f>IF(AQ184="0",BJ184,0)</f>
        <v>0</v>
      </c>
      <c r="AI184" s="12" t="s">
        <v>56</v>
      </c>
      <c r="AJ184" s="31">
        <f>IF(AN184=0,L184,0)</f>
        <v>0</v>
      </c>
      <c r="AK184" s="31">
        <f>IF(AN184=12,L184,0)</f>
        <v>0</v>
      </c>
      <c r="AL184" s="31">
        <f>IF(AN184=21,L184,0)</f>
        <v>24000</v>
      </c>
      <c r="AN184" s="31">
        <v>21</v>
      </c>
      <c r="AO184" s="31">
        <f>H184*0.333333333</f>
        <v>999.999999</v>
      </c>
      <c r="AP184" s="31">
        <f>H184*(1-0.333333333)</f>
        <v>2000.0000009999999</v>
      </c>
      <c r="AQ184" s="32" t="s">
        <v>59</v>
      </c>
      <c r="AV184" s="31">
        <f>AW184+AX184</f>
        <v>24000</v>
      </c>
      <c r="AW184" s="31">
        <f>G184*AO184</f>
        <v>7999.999992</v>
      </c>
      <c r="AX184" s="31">
        <f>G184*AP184</f>
        <v>16000.000007999999</v>
      </c>
      <c r="AY184" s="32" t="s">
        <v>319</v>
      </c>
      <c r="AZ184" s="32" t="s">
        <v>320</v>
      </c>
      <c r="BA184" s="12" t="s">
        <v>65</v>
      </c>
      <c r="BC184" s="31">
        <f>AW184+AX184</f>
        <v>24000</v>
      </c>
      <c r="BD184" s="31">
        <f>H184/(100-BE184)*100</f>
        <v>3000</v>
      </c>
      <c r="BE184" s="31">
        <v>0</v>
      </c>
      <c r="BF184" s="31">
        <f>O184</f>
        <v>0</v>
      </c>
      <c r="BH184" s="31">
        <f>G184*AO184</f>
        <v>7999.999992</v>
      </c>
      <c r="BI184" s="31">
        <f>G184*AP184</f>
        <v>16000.000007999999</v>
      </c>
      <c r="BJ184" s="31">
        <f>G184*H184</f>
        <v>24000</v>
      </c>
      <c r="BK184" s="31"/>
      <c r="BL184" s="31">
        <v>343</v>
      </c>
      <c r="BW184" s="31" t="str">
        <f>I184</f>
        <v>21</v>
      </c>
      <c r="BX184" s="4" t="s">
        <v>318</v>
      </c>
    </row>
    <row r="185" spans="1:76">
      <c r="A185" s="34"/>
      <c r="D185" s="35" t="s">
        <v>321</v>
      </c>
      <c r="E185" s="35" t="s">
        <v>56</v>
      </c>
      <c r="G185" s="36">
        <v>1</v>
      </c>
      <c r="P185" s="37"/>
    </row>
    <row r="186" spans="1:76">
      <c r="A186" s="34"/>
      <c r="D186" s="35" t="s">
        <v>322</v>
      </c>
      <c r="E186" s="35" t="s">
        <v>56</v>
      </c>
      <c r="G186" s="36">
        <v>2</v>
      </c>
      <c r="P186" s="37"/>
    </row>
    <row r="187" spans="1:76">
      <c r="A187" s="34"/>
      <c r="D187" s="35" t="s">
        <v>323</v>
      </c>
      <c r="E187" s="35" t="s">
        <v>56</v>
      </c>
      <c r="G187" s="36">
        <v>5</v>
      </c>
      <c r="P187" s="37"/>
    </row>
    <row r="188" spans="1:76">
      <c r="A188" s="38" t="s">
        <v>56</v>
      </c>
      <c r="B188" s="39" t="s">
        <v>56</v>
      </c>
      <c r="C188" s="39" t="s">
        <v>324</v>
      </c>
      <c r="D188" s="76" t="s">
        <v>325</v>
      </c>
      <c r="E188" s="77"/>
      <c r="F188" s="40" t="s">
        <v>4</v>
      </c>
      <c r="G188" s="40" t="s">
        <v>4</v>
      </c>
      <c r="H188" s="40" t="s">
        <v>4</v>
      </c>
      <c r="I188" s="40" t="s">
        <v>4</v>
      </c>
      <c r="J188" s="1">
        <f>SUM(J189:J198)</f>
        <v>152770.74614305838</v>
      </c>
      <c r="K188" s="1">
        <f>SUM(K189:K198)</f>
        <v>186854.47518604161</v>
      </c>
      <c r="L188" s="1">
        <f>SUM(L189:L198)</f>
        <v>339625.22132910002</v>
      </c>
      <c r="M188" s="1">
        <f>SUM(M189:M198)</f>
        <v>410946.51780821098</v>
      </c>
      <c r="N188" s="12" t="s">
        <v>56</v>
      </c>
      <c r="O188" s="1">
        <f>SUM(O189:O198)</f>
        <v>401.34824575930003</v>
      </c>
      <c r="P188" s="41" t="s">
        <v>56</v>
      </c>
      <c r="AI188" s="12" t="s">
        <v>56</v>
      </c>
      <c r="AS188" s="1">
        <f>SUM(AJ189:AJ198)</f>
        <v>0</v>
      </c>
      <c r="AT188" s="1">
        <f>SUM(AK189:AK198)</f>
        <v>0</v>
      </c>
      <c r="AU188" s="1">
        <f>SUM(AL189:AL198)</f>
        <v>339625.22132910002</v>
      </c>
    </row>
    <row r="189" spans="1:76">
      <c r="A189" s="2" t="s">
        <v>324</v>
      </c>
      <c r="B189" s="3" t="s">
        <v>56</v>
      </c>
      <c r="C189" s="3" t="s">
        <v>326</v>
      </c>
      <c r="D189" s="74" t="s">
        <v>327</v>
      </c>
      <c r="E189" s="75"/>
      <c r="F189" s="3" t="s">
        <v>118</v>
      </c>
      <c r="G189" s="31">
        <v>212.26709</v>
      </c>
      <c r="H189" s="31">
        <v>1487.99</v>
      </c>
      <c r="I189" s="32" t="s">
        <v>63</v>
      </c>
      <c r="J189" s="31">
        <f>G189*AO189</f>
        <v>152770.74614305838</v>
      </c>
      <c r="K189" s="31">
        <f>G189*AP189</f>
        <v>163080.56110604163</v>
      </c>
      <c r="L189" s="31">
        <f>G189*H189</f>
        <v>315851.30724910001</v>
      </c>
      <c r="M189" s="31">
        <f>L189*(1+BW189/100)</f>
        <v>382180.081771411</v>
      </c>
      <c r="N189" s="31">
        <v>1.8907700000000001</v>
      </c>
      <c r="O189" s="31">
        <f>G189*N189</f>
        <v>401.34824575930003</v>
      </c>
      <c r="P189" s="33" t="s">
        <v>85</v>
      </c>
      <c r="Z189" s="31">
        <f>IF(AQ189="5",BJ189,0)</f>
        <v>0</v>
      </c>
      <c r="AB189" s="31">
        <f>IF(AQ189="1",BH189,0)</f>
        <v>152770.74614305838</v>
      </c>
      <c r="AC189" s="31">
        <f>IF(AQ189="1",BI189,0)</f>
        <v>163080.56110604163</v>
      </c>
      <c r="AD189" s="31">
        <f>IF(AQ189="7",BH189,0)</f>
        <v>0</v>
      </c>
      <c r="AE189" s="31">
        <f>IF(AQ189="7",BI189,0)</f>
        <v>0</v>
      </c>
      <c r="AF189" s="31">
        <f>IF(AQ189="2",BH189,0)</f>
        <v>0</v>
      </c>
      <c r="AG189" s="31">
        <f>IF(AQ189="2",BI189,0)</f>
        <v>0</v>
      </c>
      <c r="AH189" s="31">
        <f>IF(AQ189="0",BJ189,0)</f>
        <v>0</v>
      </c>
      <c r="AI189" s="12" t="s">
        <v>56</v>
      </c>
      <c r="AJ189" s="31">
        <f>IF(AN189=0,L189,0)</f>
        <v>0</v>
      </c>
      <c r="AK189" s="31">
        <f>IF(AN189=12,L189,0)</f>
        <v>0</v>
      </c>
      <c r="AL189" s="31">
        <f>IF(AN189=21,L189,0)</f>
        <v>315851.30724910001</v>
      </c>
      <c r="AN189" s="31">
        <v>21</v>
      </c>
      <c r="AO189" s="31">
        <f>H189*0.483679322</f>
        <v>719.70999434278008</v>
      </c>
      <c r="AP189" s="31">
        <f>H189*(1-0.483679322)</f>
        <v>768.28000565722004</v>
      </c>
      <c r="AQ189" s="32" t="s">
        <v>59</v>
      </c>
      <c r="AV189" s="31">
        <f>AW189+AX189</f>
        <v>315851.30724910001</v>
      </c>
      <c r="AW189" s="31">
        <f>G189*AO189</f>
        <v>152770.74614305838</v>
      </c>
      <c r="AX189" s="31">
        <f>G189*AP189</f>
        <v>163080.56110604163</v>
      </c>
      <c r="AY189" s="32" t="s">
        <v>328</v>
      </c>
      <c r="AZ189" s="32" t="s">
        <v>329</v>
      </c>
      <c r="BA189" s="12" t="s">
        <v>65</v>
      </c>
      <c r="BC189" s="31">
        <f>AW189+AX189</f>
        <v>315851.30724910001</v>
      </c>
      <c r="BD189" s="31">
        <f>H189/(100-BE189)*100</f>
        <v>1487.99</v>
      </c>
      <c r="BE189" s="31">
        <v>0</v>
      </c>
      <c r="BF189" s="31">
        <f>O189</f>
        <v>401.34824575930003</v>
      </c>
      <c r="BH189" s="31">
        <f>G189*AO189</f>
        <v>152770.74614305838</v>
      </c>
      <c r="BI189" s="31">
        <f>G189*AP189</f>
        <v>163080.56110604163</v>
      </c>
      <c r="BJ189" s="31">
        <f>G189*H189</f>
        <v>315851.30724910001</v>
      </c>
      <c r="BK189" s="31"/>
      <c r="BL189" s="31">
        <v>45</v>
      </c>
      <c r="BW189" s="31" t="str">
        <f>I189</f>
        <v>21</v>
      </c>
      <c r="BX189" s="4" t="s">
        <v>327</v>
      </c>
    </row>
    <row r="190" spans="1:76">
      <c r="A190" s="34"/>
      <c r="D190" s="35" t="s">
        <v>330</v>
      </c>
      <c r="E190" s="35" t="s">
        <v>56</v>
      </c>
      <c r="G190" s="36">
        <v>39.18</v>
      </c>
      <c r="P190" s="37"/>
    </row>
    <row r="191" spans="1:76">
      <c r="A191" s="34"/>
      <c r="D191" s="35" t="s">
        <v>331</v>
      </c>
      <c r="E191" s="35" t="s">
        <v>56</v>
      </c>
      <c r="G191" s="36">
        <v>4.95</v>
      </c>
      <c r="P191" s="37"/>
    </row>
    <row r="192" spans="1:76">
      <c r="A192" s="34"/>
      <c r="D192" s="35" t="s">
        <v>332</v>
      </c>
      <c r="E192" s="35" t="s">
        <v>56</v>
      </c>
      <c r="G192" s="36">
        <v>10.942500000000001</v>
      </c>
      <c r="P192" s="37"/>
    </row>
    <row r="193" spans="1:76">
      <c r="A193" s="34"/>
      <c r="D193" s="35" t="s">
        <v>130</v>
      </c>
      <c r="E193" s="35" t="s">
        <v>56</v>
      </c>
      <c r="G193" s="36">
        <v>0</v>
      </c>
      <c r="P193" s="37"/>
    </row>
    <row r="194" spans="1:76">
      <c r="A194" s="34"/>
      <c r="D194" s="35" t="s">
        <v>333</v>
      </c>
      <c r="E194" s="35" t="s">
        <v>56</v>
      </c>
      <c r="G194" s="36">
        <v>8.4543800000000005</v>
      </c>
      <c r="P194" s="37"/>
    </row>
    <row r="195" spans="1:76">
      <c r="A195" s="34"/>
      <c r="D195" s="35" t="s">
        <v>133</v>
      </c>
      <c r="E195" s="35" t="s">
        <v>56</v>
      </c>
      <c r="G195" s="36">
        <v>0</v>
      </c>
      <c r="P195" s="37"/>
    </row>
    <row r="196" spans="1:76">
      <c r="A196" s="34"/>
      <c r="D196" s="35" t="s">
        <v>334</v>
      </c>
      <c r="E196" s="35" t="s">
        <v>56</v>
      </c>
      <c r="G196" s="36">
        <v>148.74020999999999</v>
      </c>
      <c r="P196" s="37"/>
    </row>
    <row r="197" spans="1:76">
      <c r="A197" s="34"/>
      <c r="D197" s="35" t="s">
        <v>135</v>
      </c>
      <c r="E197" s="35" t="s">
        <v>56</v>
      </c>
      <c r="G197" s="36">
        <v>0</v>
      </c>
      <c r="P197" s="37"/>
    </row>
    <row r="198" spans="1:76">
      <c r="A198" s="2" t="s">
        <v>335</v>
      </c>
      <c r="B198" s="3" t="s">
        <v>56</v>
      </c>
      <c r="C198" s="3" t="s">
        <v>336</v>
      </c>
      <c r="D198" s="74" t="s">
        <v>337</v>
      </c>
      <c r="E198" s="75"/>
      <c r="F198" s="3" t="s">
        <v>118</v>
      </c>
      <c r="G198" s="31">
        <v>212.26709</v>
      </c>
      <c r="H198" s="31">
        <v>112</v>
      </c>
      <c r="I198" s="32" t="s">
        <v>63</v>
      </c>
      <c r="J198" s="31">
        <f>G198*AO198</f>
        <v>0</v>
      </c>
      <c r="K198" s="31">
        <f>G198*AP198</f>
        <v>23773.914079999999</v>
      </c>
      <c r="L198" s="31">
        <f>G198*H198</f>
        <v>23773.914079999999</v>
      </c>
      <c r="M198" s="31">
        <f>L198*(1+BW198/100)</f>
        <v>28766.436036799998</v>
      </c>
      <c r="N198" s="31">
        <v>0</v>
      </c>
      <c r="O198" s="31">
        <f>G198*N198</f>
        <v>0</v>
      </c>
      <c r="P198" s="33" t="s">
        <v>85</v>
      </c>
      <c r="Z198" s="31">
        <f>IF(AQ198="5",BJ198,0)</f>
        <v>0</v>
      </c>
      <c r="AB198" s="31">
        <f>IF(AQ198="1",BH198,0)</f>
        <v>0</v>
      </c>
      <c r="AC198" s="31">
        <f>IF(AQ198="1",BI198,0)</f>
        <v>0</v>
      </c>
      <c r="AD198" s="31">
        <f>IF(AQ198="7",BH198,0)</f>
        <v>0</v>
      </c>
      <c r="AE198" s="31">
        <f>IF(AQ198="7",BI198,0)</f>
        <v>0</v>
      </c>
      <c r="AF198" s="31">
        <f>IF(AQ198="2",BH198,0)</f>
        <v>0</v>
      </c>
      <c r="AG198" s="31">
        <f>IF(AQ198="2",BI198,0)</f>
        <v>23773.914079999999</v>
      </c>
      <c r="AH198" s="31">
        <f>IF(AQ198="0",BJ198,0)</f>
        <v>0</v>
      </c>
      <c r="AI198" s="12" t="s">
        <v>56</v>
      </c>
      <c r="AJ198" s="31">
        <f>IF(AN198=0,L198,0)</f>
        <v>0</v>
      </c>
      <c r="AK198" s="31">
        <f>IF(AN198=12,L198,0)</f>
        <v>0</v>
      </c>
      <c r="AL198" s="31">
        <f>IF(AN198=21,L198,0)</f>
        <v>23773.914079999999</v>
      </c>
      <c r="AN198" s="31">
        <v>21</v>
      </c>
      <c r="AO198" s="31">
        <f>H198*0</f>
        <v>0</v>
      </c>
      <c r="AP198" s="31">
        <f>H198*(1-0)</f>
        <v>112</v>
      </c>
      <c r="AQ198" s="32" t="s">
        <v>67</v>
      </c>
      <c r="AV198" s="31">
        <f>AW198+AX198</f>
        <v>23773.914079999999</v>
      </c>
      <c r="AW198" s="31">
        <f>G198*AO198</f>
        <v>0</v>
      </c>
      <c r="AX198" s="31">
        <f>G198*AP198</f>
        <v>23773.914079999999</v>
      </c>
      <c r="AY198" s="32" t="s">
        <v>328</v>
      </c>
      <c r="AZ198" s="32" t="s">
        <v>329</v>
      </c>
      <c r="BA198" s="12" t="s">
        <v>65</v>
      </c>
      <c r="BC198" s="31">
        <f>AW198+AX198</f>
        <v>23773.914079999999</v>
      </c>
      <c r="BD198" s="31">
        <f>H198/(100-BE198)*100</f>
        <v>112.00000000000001</v>
      </c>
      <c r="BE198" s="31">
        <v>0</v>
      </c>
      <c r="BF198" s="31">
        <f>O198</f>
        <v>0</v>
      </c>
      <c r="BH198" s="31">
        <f>G198*AO198</f>
        <v>0</v>
      </c>
      <c r="BI198" s="31">
        <f>G198*AP198</f>
        <v>23773.914079999999</v>
      </c>
      <c r="BJ198" s="31">
        <f>G198*H198</f>
        <v>23773.914079999999</v>
      </c>
      <c r="BK198" s="31"/>
      <c r="BL198" s="31">
        <v>45</v>
      </c>
      <c r="BW198" s="31" t="str">
        <f>I198</f>
        <v>21</v>
      </c>
      <c r="BX198" s="4" t="s">
        <v>337</v>
      </c>
    </row>
    <row r="199" spans="1:76">
      <c r="A199" s="34"/>
      <c r="D199" s="35" t="s">
        <v>338</v>
      </c>
      <c r="E199" s="35" t="s">
        <v>56</v>
      </c>
      <c r="G199" s="36">
        <v>212.26709</v>
      </c>
      <c r="P199" s="37"/>
    </row>
    <row r="200" spans="1:76">
      <c r="A200" s="38" t="s">
        <v>56</v>
      </c>
      <c r="B200" s="39" t="s">
        <v>56</v>
      </c>
      <c r="C200" s="39" t="s">
        <v>339</v>
      </c>
      <c r="D200" s="76" t="s">
        <v>340</v>
      </c>
      <c r="E200" s="77"/>
      <c r="F200" s="40" t="s">
        <v>4</v>
      </c>
      <c r="G200" s="40" t="s">
        <v>4</v>
      </c>
      <c r="H200" s="40" t="s">
        <v>4</v>
      </c>
      <c r="I200" s="40" t="s">
        <v>4</v>
      </c>
      <c r="J200" s="1">
        <f>SUM(J201:J207)</f>
        <v>382596.20967883064</v>
      </c>
      <c r="K200" s="1">
        <f>SUM(K201:K207)</f>
        <v>86006.052321169394</v>
      </c>
      <c r="L200" s="1">
        <f>SUM(L201:L207)</f>
        <v>468602.26199999999</v>
      </c>
      <c r="M200" s="1">
        <f>SUM(M201:M207)</f>
        <v>567008.73701999988</v>
      </c>
      <c r="N200" s="12" t="s">
        <v>56</v>
      </c>
      <c r="O200" s="1">
        <f>SUM(O201:O207)</f>
        <v>563.10273600000005</v>
      </c>
      <c r="P200" s="41" t="s">
        <v>56</v>
      </c>
      <c r="AI200" s="12" t="s">
        <v>56</v>
      </c>
      <c r="AS200" s="1">
        <f>SUM(AJ201:AJ207)</f>
        <v>0</v>
      </c>
      <c r="AT200" s="1">
        <f>SUM(AK201:AK207)</f>
        <v>0</v>
      </c>
      <c r="AU200" s="1">
        <f>SUM(AL201:AL207)</f>
        <v>468602.26199999999</v>
      </c>
    </row>
    <row r="201" spans="1:76">
      <c r="A201" s="2" t="s">
        <v>341</v>
      </c>
      <c r="B201" s="3" t="s">
        <v>56</v>
      </c>
      <c r="C201" s="3" t="s">
        <v>342</v>
      </c>
      <c r="D201" s="74" t="s">
        <v>343</v>
      </c>
      <c r="E201" s="75"/>
      <c r="F201" s="3" t="s">
        <v>100</v>
      </c>
      <c r="G201" s="31">
        <v>507.2</v>
      </c>
      <c r="H201" s="31">
        <v>242.5</v>
      </c>
      <c r="I201" s="32" t="s">
        <v>63</v>
      </c>
      <c r="J201" s="31">
        <f>G201*AO201</f>
        <v>105142.560021556</v>
      </c>
      <c r="K201" s="31">
        <f>G201*AP201</f>
        <v>17853.439978444003</v>
      </c>
      <c r="L201" s="31">
        <f>G201*H201</f>
        <v>122996</v>
      </c>
      <c r="M201" s="31">
        <f>L201*(1+BW201/100)</f>
        <v>148825.16</v>
      </c>
      <c r="N201" s="31">
        <v>0.441</v>
      </c>
      <c r="O201" s="31">
        <f>G201*N201</f>
        <v>223.67519999999999</v>
      </c>
      <c r="P201" s="33" t="s">
        <v>85</v>
      </c>
      <c r="Z201" s="31">
        <f>IF(AQ201="5",BJ201,0)</f>
        <v>0</v>
      </c>
      <c r="AB201" s="31">
        <f>IF(AQ201="1",BH201,0)</f>
        <v>105142.560021556</v>
      </c>
      <c r="AC201" s="31">
        <f>IF(AQ201="1",BI201,0)</f>
        <v>17853.439978444003</v>
      </c>
      <c r="AD201" s="31">
        <f>IF(AQ201="7",BH201,0)</f>
        <v>0</v>
      </c>
      <c r="AE201" s="31">
        <f>IF(AQ201="7",BI201,0)</f>
        <v>0</v>
      </c>
      <c r="AF201" s="31">
        <f>IF(AQ201="2",BH201,0)</f>
        <v>0</v>
      </c>
      <c r="AG201" s="31">
        <f>IF(AQ201="2",BI201,0)</f>
        <v>0</v>
      </c>
      <c r="AH201" s="31">
        <f>IF(AQ201="0",BJ201,0)</f>
        <v>0</v>
      </c>
      <c r="AI201" s="12" t="s">
        <v>56</v>
      </c>
      <c r="AJ201" s="31">
        <f>IF(AN201=0,L201,0)</f>
        <v>0</v>
      </c>
      <c r="AK201" s="31">
        <f>IF(AN201=12,L201,0)</f>
        <v>0</v>
      </c>
      <c r="AL201" s="31">
        <f>IF(AN201=21,L201,0)</f>
        <v>122996</v>
      </c>
      <c r="AN201" s="31">
        <v>21</v>
      </c>
      <c r="AO201" s="31">
        <f>H201*0.854845361</f>
        <v>207.30000004249999</v>
      </c>
      <c r="AP201" s="31">
        <f>H201*(1-0.854845361)</f>
        <v>35.199999957500005</v>
      </c>
      <c r="AQ201" s="32" t="s">
        <v>59</v>
      </c>
      <c r="AV201" s="31">
        <f>AW201+AX201</f>
        <v>122996</v>
      </c>
      <c r="AW201" s="31">
        <f>G201*AO201</f>
        <v>105142.560021556</v>
      </c>
      <c r="AX201" s="31">
        <f>G201*AP201</f>
        <v>17853.439978444003</v>
      </c>
      <c r="AY201" s="32" t="s">
        <v>344</v>
      </c>
      <c r="AZ201" s="32" t="s">
        <v>345</v>
      </c>
      <c r="BA201" s="12" t="s">
        <v>65</v>
      </c>
      <c r="BC201" s="31">
        <f>AW201+AX201</f>
        <v>122996</v>
      </c>
      <c r="BD201" s="31">
        <f>H201/(100-BE201)*100</f>
        <v>242.49999999999997</v>
      </c>
      <c r="BE201" s="31">
        <v>0</v>
      </c>
      <c r="BF201" s="31">
        <f>O201</f>
        <v>223.67519999999999</v>
      </c>
      <c r="BH201" s="31">
        <f>G201*AO201</f>
        <v>105142.560021556</v>
      </c>
      <c r="BI201" s="31">
        <f>G201*AP201</f>
        <v>17853.439978444003</v>
      </c>
      <c r="BJ201" s="31">
        <f>G201*H201</f>
        <v>122996</v>
      </c>
      <c r="BK201" s="31"/>
      <c r="BL201" s="31">
        <v>56</v>
      </c>
      <c r="BW201" s="31" t="str">
        <f>I201</f>
        <v>21</v>
      </c>
      <c r="BX201" s="4" t="s">
        <v>343</v>
      </c>
    </row>
    <row r="202" spans="1:76">
      <c r="A202" s="34"/>
      <c r="D202" s="35" t="s">
        <v>346</v>
      </c>
      <c r="E202" s="35" t="s">
        <v>56</v>
      </c>
      <c r="G202" s="36">
        <v>507.2</v>
      </c>
      <c r="P202" s="37"/>
    </row>
    <row r="203" spans="1:76">
      <c r="A203" s="2" t="s">
        <v>347</v>
      </c>
      <c r="B203" s="3" t="s">
        <v>56</v>
      </c>
      <c r="C203" s="3" t="s">
        <v>348</v>
      </c>
      <c r="D203" s="74" t="s">
        <v>349</v>
      </c>
      <c r="E203" s="75"/>
      <c r="F203" s="3" t="s">
        <v>100</v>
      </c>
      <c r="G203" s="31">
        <v>507.2</v>
      </c>
      <c r="H203" s="31">
        <v>185.99</v>
      </c>
      <c r="I203" s="32" t="s">
        <v>63</v>
      </c>
      <c r="J203" s="31">
        <f>G203*AO203</f>
        <v>78920.318349058944</v>
      </c>
      <c r="K203" s="31">
        <f>G203*AP203</f>
        <v>15413.809650941068</v>
      </c>
      <c r="L203" s="31">
        <f>G203*H203</f>
        <v>94334.127999999997</v>
      </c>
      <c r="M203" s="31">
        <f>L203*(1+BW203/100)</f>
        <v>114144.29487999999</v>
      </c>
      <c r="N203" s="31">
        <v>0.378</v>
      </c>
      <c r="O203" s="31">
        <f>G203*N203</f>
        <v>191.7216</v>
      </c>
      <c r="P203" s="33" t="s">
        <v>85</v>
      </c>
      <c r="Z203" s="31">
        <f>IF(AQ203="5",BJ203,0)</f>
        <v>0</v>
      </c>
      <c r="AB203" s="31">
        <f>IF(AQ203="1",BH203,0)</f>
        <v>78920.318349058944</v>
      </c>
      <c r="AC203" s="31">
        <f>IF(AQ203="1",BI203,0)</f>
        <v>15413.809650941068</v>
      </c>
      <c r="AD203" s="31">
        <f>IF(AQ203="7",BH203,0)</f>
        <v>0</v>
      </c>
      <c r="AE203" s="31">
        <f>IF(AQ203="7",BI203,0)</f>
        <v>0</v>
      </c>
      <c r="AF203" s="31">
        <f>IF(AQ203="2",BH203,0)</f>
        <v>0</v>
      </c>
      <c r="AG203" s="31">
        <f>IF(AQ203="2",BI203,0)</f>
        <v>0</v>
      </c>
      <c r="AH203" s="31">
        <f>IF(AQ203="0",BJ203,0)</f>
        <v>0</v>
      </c>
      <c r="AI203" s="12" t="s">
        <v>56</v>
      </c>
      <c r="AJ203" s="31">
        <f>IF(AN203=0,L203,0)</f>
        <v>0</v>
      </c>
      <c r="AK203" s="31">
        <f>IF(AN203=12,L203,0)</f>
        <v>0</v>
      </c>
      <c r="AL203" s="31">
        <f>IF(AN203=21,L203,0)</f>
        <v>94334.127999999997</v>
      </c>
      <c r="AN203" s="31">
        <v>21</v>
      </c>
      <c r="AO203" s="31">
        <f>H203*0.836604101</f>
        <v>155.59999674499002</v>
      </c>
      <c r="AP203" s="31">
        <f>H203*(1-0.836604101)</f>
        <v>30.390003255009994</v>
      </c>
      <c r="AQ203" s="32" t="s">
        <v>59</v>
      </c>
      <c r="AV203" s="31">
        <f>AW203+AX203</f>
        <v>94334.128000000012</v>
      </c>
      <c r="AW203" s="31">
        <f>G203*AO203</f>
        <v>78920.318349058944</v>
      </c>
      <c r="AX203" s="31">
        <f>G203*AP203</f>
        <v>15413.809650941068</v>
      </c>
      <c r="AY203" s="32" t="s">
        <v>344</v>
      </c>
      <c r="AZ203" s="32" t="s">
        <v>345</v>
      </c>
      <c r="BA203" s="12" t="s">
        <v>65</v>
      </c>
      <c r="BC203" s="31">
        <f>AW203+AX203</f>
        <v>94334.128000000012</v>
      </c>
      <c r="BD203" s="31">
        <f>H203/(100-BE203)*100</f>
        <v>185.99</v>
      </c>
      <c r="BE203" s="31">
        <v>0</v>
      </c>
      <c r="BF203" s="31">
        <f>O203</f>
        <v>191.7216</v>
      </c>
      <c r="BH203" s="31">
        <f>G203*AO203</f>
        <v>78920.318349058944</v>
      </c>
      <c r="BI203" s="31">
        <f>G203*AP203</f>
        <v>15413.809650941068</v>
      </c>
      <c r="BJ203" s="31">
        <f>G203*H203</f>
        <v>94334.127999999997</v>
      </c>
      <c r="BK203" s="31"/>
      <c r="BL203" s="31">
        <v>56</v>
      </c>
      <c r="BW203" s="31" t="str">
        <f>I203</f>
        <v>21</v>
      </c>
      <c r="BX203" s="4" t="s">
        <v>349</v>
      </c>
    </row>
    <row r="204" spans="1:76">
      <c r="A204" s="34"/>
      <c r="D204" s="35" t="s">
        <v>346</v>
      </c>
      <c r="E204" s="35" t="s">
        <v>56</v>
      </c>
      <c r="G204" s="36">
        <v>507.2</v>
      </c>
      <c r="P204" s="37"/>
    </row>
    <row r="205" spans="1:76">
      <c r="A205" s="2" t="s">
        <v>350</v>
      </c>
      <c r="B205" s="3" t="s">
        <v>56</v>
      </c>
      <c r="C205" s="3" t="s">
        <v>351</v>
      </c>
      <c r="D205" s="74" t="s">
        <v>352</v>
      </c>
      <c r="E205" s="75"/>
      <c r="F205" s="3" t="s">
        <v>100</v>
      </c>
      <c r="G205" s="31">
        <v>507.2</v>
      </c>
      <c r="H205" s="31">
        <v>417.01</v>
      </c>
      <c r="I205" s="32" t="s">
        <v>63</v>
      </c>
      <c r="J205" s="31">
        <f>G205*AO205</f>
        <v>165266.04961825709</v>
      </c>
      <c r="K205" s="31">
        <f>G205*AP205</f>
        <v>46241.422381742901</v>
      </c>
      <c r="L205" s="31">
        <f>G205*H205</f>
        <v>211507.47199999998</v>
      </c>
      <c r="M205" s="31">
        <f>L205*(1+BW205/100)</f>
        <v>255924.04111999998</v>
      </c>
      <c r="N205" s="31">
        <v>0.13188</v>
      </c>
      <c r="O205" s="31">
        <f>G205*N205</f>
        <v>66.889535999999993</v>
      </c>
      <c r="P205" s="33" t="s">
        <v>85</v>
      </c>
      <c r="Z205" s="31">
        <f>IF(AQ205="5",BJ205,0)</f>
        <v>0</v>
      </c>
      <c r="AB205" s="31">
        <f>IF(AQ205="1",BH205,0)</f>
        <v>165266.04961825709</v>
      </c>
      <c r="AC205" s="31">
        <f>IF(AQ205="1",BI205,0)</f>
        <v>46241.422381742901</v>
      </c>
      <c r="AD205" s="31">
        <f>IF(AQ205="7",BH205,0)</f>
        <v>0</v>
      </c>
      <c r="AE205" s="31">
        <f>IF(AQ205="7",BI205,0)</f>
        <v>0</v>
      </c>
      <c r="AF205" s="31">
        <f>IF(AQ205="2",BH205,0)</f>
        <v>0</v>
      </c>
      <c r="AG205" s="31">
        <f>IF(AQ205="2",BI205,0)</f>
        <v>0</v>
      </c>
      <c r="AH205" s="31">
        <f>IF(AQ205="0",BJ205,0)</f>
        <v>0</v>
      </c>
      <c r="AI205" s="12" t="s">
        <v>56</v>
      </c>
      <c r="AJ205" s="31">
        <f>IF(AN205=0,L205,0)</f>
        <v>0</v>
      </c>
      <c r="AK205" s="31">
        <f>IF(AN205=12,L205,0)</f>
        <v>0</v>
      </c>
      <c r="AL205" s="31">
        <f>IF(AN205=21,L205,0)</f>
        <v>211507.47199999998</v>
      </c>
      <c r="AN205" s="31">
        <v>21</v>
      </c>
      <c r="AO205" s="31">
        <f>H205*0.781372157</f>
        <v>325.84000319056997</v>
      </c>
      <c r="AP205" s="31">
        <f>H205*(1-0.781372157)</f>
        <v>91.169996809430017</v>
      </c>
      <c r="AQ205" s="32" t="s">
        <v>59</v>
      </c>
      <c r="AV205" s="31">
        <f>AW205+AX205</f>
        <v>211507.47200000001</v>
      </c>
      <c r="AW205" s="31">
        <f>G205*AO205</f>
        <v>165266.04961825709</v>
      </c>
      <c r="AX205" s="31">
        <f>G205*AP205</f>
        <v>46241.422381742901</v>
      </c>
      <c r="AY205" s="32" t="s">
        <v>344</v>
      </c>
      <c r="AZ205" s="32" t="s">
        <v>345</v>
      </c>
      <c r="BA205" s="12" t="s">
        <v>65</v>
      </c>
      <c r="BC205" s="31">
        <f>AW205+AX205</f>
        <v>211507.47200000001</v>
      </c>
      <c r="BD205" s="31">
        <f>H205/(100-BE205)*100</f>
        <v>417.01</v>
      </c>
      <c r="BE205" s="31">
        <v>0</v>
      </c>
      <c r="BF205" s="31">
        <f>O205</f>
        <v>66.889535999999993</v>
      </c>
      <c r="BH205" s="31">
        <f>G205*AO205</f>
        <v>165266.04961825709</v>
      </c>
      <c r="BI205" s="31">
        <f>G205*AP205</f>
        <v>46241.422381742901</v>
      </c>
      <c r="BJ205" s="31">
        <f>G205*H205</f>
        <v>211507.47199999998</v>
      </c>
      <c r="BK205" s="31"/>
      <c r="BL205" s="31">
        <v>56</v>
      </c>
      <c r="BW205" s="31" t="str">
        <f>I205</f>
        <v>21</v>
      </c>
      <c r="BX205" s="4" t="s">
        <v>352</v>
      </c>
    </row>
    <row r="206" spans="1:76">
      <c r="A206" s="34"/>
      <c r="D206" s="35" t="s">
        <v>346</v>
      </c>
      <c r="E206" s="35" t="s">
        <v>56</v>
      </c>
      <c r="G206" s="36">
        <v>507.2</v>
      </c>
      <c r="P206" s="37"/>
    </row>
    <row r="207" spans="1:76">
      <c r="A207" s="2" t="s">
        <v>353</v>
      </c>
      <c r="B207" s="3" t="s">
        <v>56</v>
      </c>
      <c r="C207" s="3" t="s">
        <v>348</v>
      </c>
      <c r="D207" s="74" t="s">
        <v>354</v>
      </c>
      <c r="E207" s="75"/>
      <c r="F207" s="3" t="s">
        <v>100</v>
      </c>
      <c r="G207" s="31">
        <v>213.8</v>
      </c>
      <c r="H207" s="31">
        <v>185.99</v>
      </c>
      <c r="I207" s="32" t="s">
        <v>63</v>
      </c>
      <c r="J207" s="31">
        <f>G207*AO207</f>
        <v>33267.281689958581</v>
      </c>
      <c r="K207" s="31">
        <f>G207*AP207</f>
        <v>6497.3803100414179</v>
      </c>
      <c r="L207" s="31">
        <f>G207*H207</f>
        <v>39764.662000000004</v>
      </c>
      <c r="M207" s="31">
        <f>L207*(1+BW207/100)</f>
        <v>48115.241020000001</v>
      </c>
      <c r="N207" s="31">
        <v>0.378</v>
      </c>
      <c r="O207" s="31">
        <f>G207*N207</f>
        <v>80.816400000000002</v>
      </c>
      <c r="P207" s="33" t="s">
        <v>85</v>
      </c>
      <c r="Z207" s="31">
        <f>IF(AQ207="5",BJ207,0)</f>
        <v>0</v>
      </c>
      <c r="AB207" s="31">
        <f>IF(AQ207="1",BH207,0)</f>
        <v>33267.281689958581</v>
      </c>
      <c r="AC207" s="31">
        <f>IF(AQ207="1",BI207,0)</f>
        <v>6497.3803100414179</v>
      </c>
      <c r="AD207" s="31">
        <f>IF(AQ207="7",BH207,0)</f>
        <v>0</v>
      </c>
      <c r="AE207" s="31">
        <f>IF(AQ207="7",BI207,0)</f>
        <v>0</v>
      </c>
      <c r="AF207" s="31">
        <f>IF(AQ207="2",BH207,0)</f>
        <v>0</v>
      </c>
      <c r="AG207" s="31">
        <f>IF(AQ207="2",BI207,0)</f>
        <v>0</v>
      </c>
      <c r="AH207" s="31">
        <f>IF(AQ207="0",BJ207,0)</f>
        <v>0</v>
      </c>
      <c r="AI207" s="12" t="s">
        <v>56</v>
      </c>
      <c r="AJ207" s="31">
        <f>IF(AN207=0,L207,0)</f>
        <v>0</v>
      </c>
      <c r="AK207" s="31">
        <f>IF(AN207=12,L207,0)</f>
        <v>0</v>
      </c>
      <c r="AL207" s="31">
        <f>IF(AN207=21,L207,0)</f>
        <v>39764.662000000004</v>
      </c>
      <c r="AN207" s="31">
        <v>21</v>
      </c>
      <c r="AO207" s="31">
        <f>H207*0.836604161</f>
        <v>155.60000790439</v>
      </c>
      <c r="AP207" s="31">
        <f>H207*(1-0.836604161)</f>
        <v>30.389992095609998</v>
      </c>
      <c r="AQ207" s="32" t="s">
        <v>59</v>
      </c>
      <c r="AV207" s="31">
        <f>AW207+AX207</f>
        <v>39764.661999999997</v>
      </c>
      <c r="AW207" s="31">
        <f>G207*AO207</f>
        <v>33267.281689958581</v>
      </c>
      <c r="AX207" s="31">
        <f>G207*AP207</f>
        <v>6497.3803100414179</v>
      </c>
      <c r="AY207" s="32" t="s">
        <v>344</v>
      </c>
      <c r="AZ207" s="32" t="s">
        <v>345</v>
      </c>
      <c r="BA207" s="12" t="s">
        <v>65</v>
      </c>
      <c r="BC207" s="31">
        <f>AW207+AX207</f>
        <v>39764.661999999997</v>
      </c>
      <c r="BD207" s="31">
        <f>H207/(100-BE207)*100</f>
        <v>185.99</v>
      </c>
      <c r="BE207" s="31">
        <v>0</v>
      </c>
      <c r="BF207" s="31">
        <f>O207</f>
        <v>80.816400000000002</v>
      </c>
      <c r="BH207" s="31">
        <f>G207*AO207</f>
        <v>33267.281689958581</v>
      </c>
      <c r="BI207" s="31">
        <f>G207*AP207</f>
        <v>6497.3803100414179</v>
      </c>
      <c r="BJ207" s="31">
        <f>G207*H207</f>
        <v>39764.662000000004</v>
      </c>
      <c r="BK207" s="31"/>
      <c r="BL207" s="31">
        <v>56</v>
      </c>
      <c r="BW207" s="31" t="str">
        <f>I207</f>
        <v>21</v>
      </c>
      <c r="BX207" s="4" t="s">
        <v>354</v>
      </c>
    </row>
    <row r="208" spans="1:76">
      <c r="A208" s="34"/>
      <c r="D208" s="35" t="s">
        <v>355</v>
      </c>
      <c r="E208" s="35" t="s">
        <v>56</v>
      </c>
      <c r="G208" s="36">
        <v>213.8</v>
      </c>
      <c r="P208" s="37"/>
    </row>
    <row r="209" spans="1:76">
      <c r="A209" s="38" t="s">
        <v>56</v>
      </c>
      <c r="B209" s="39" t="s">
        <v>56</v>
      </c>
      <c r="C209" s="39" t="s">
        <v>356</v>
      </c>
      <c r="D209" s="76" t="s">
        <v>357</v>
      </c>
      <c r="E209" s="77"/>
      <c r="F209" s="40" t="s">
        <v>4</v>
      </c>
      <c r="G209" s="40" t="s">
        <v>4</v>
      </c>
      <c r="H209" s="40" t="s">
        <v>4</v>
      </c>
      <c r="I209" s="40" t="s">
        <v>4</v>
      </c>
      <c r="J209" s="1">
        <f>SUM(J210:J216)</f>
        <v>280903.33249252453</v>
      </c>
      <c r="K209" s="1">
        <f>SUM(K210:K216)</f>
        <v>83674.923507475483</v>
      </c>
      <c r="L209" s="1">
        <f>SUM(L210:L216)</f>
        <v>364578.25600000005</v>
      </c>
      <c r="M209" s="1">
        <f>SUM(M210:M216)</f>
        <v>441139.68975999998</v>
      </c>
      <c r="N209" s="12" t="s">
        <v>56</v>
      </c>
      <c r="O209" s="1">
        <f>SUM(O210:O216)</f>
        <v>124.715872</v>
      </c>
      <c r="P209" s="41" t="s">
        <v>56</v>
      </c>
      <c r="AI209" s="12" t="s">
        <v>56</v>
      </c>
      <c r="AS209" s="1">
        <f>SUM(AJ210:AJ216)</f>
        <v>0</v>
      </c>
      <c r="AT209" s="1">
        <f>SUM(AK210:AK216)</f>
        <v>0</v>
      </c>
      <c r="AU209" s="1">
        <f>SUM(AL210:AL216)</f>
        <v>364578.25600000005</v>
      </c>
    </row>
    <row r="210" spans="1:76">
      <c r="A210" s="2" t="s">
        <v>358</v>
      </c>
      <c r="B210" s="3" t="s">
        <v>56</v>
      </c>
      <c r="C210" s="3" t="s">
        <v>359</v>
      </c>
      <c r="D210" s="74" t="s">
        <v>360</v>
      </c>
      <c r="E210" s="75"/>
      <c r="F210" s="3" t="s">
        <v>100</v>
      </c>
      <c r="G210" s="31">
        <v>507.2</v>
      </c>
      <c r="H210" s="31">
        <v>31.31</v>
      </c>
      <c r="I210" s="32" t="s">
        <v>63</v>
      </c>
      <c r="J210" s="31">
        <f>G210*AO210</f>
        <v>13998.721769250542</v>
      </c>
      <c r="K210" s="31">
        <f>G210*AP210</f>
        <v>1881.7102307494556</v>
      </c>
      <c r="L210" s="31">
        <f>G210*H210</f>
        <v>15880.431999999999</v>
      </c>
      <c r="M210" s="31">
        <f>L210*(1+BW210/100)</f>
        <v>19215.322719999996</v>
      </c>
      <c r="N210" s="31">
        <v>5.6100000000000004E-3</v>
      </c>
      <c r="O210" s="31">
        <f>G210*N210</f>
        <v>2.8453919999999999</v>
      </c>
      <c r="P210" s="33" t="s">
        <v>85</v>
      </c>
      <c r="Z210" s="31">
        <f>IF(AQ210="5",BJ210,0)</f>
        <v>0</v>
      </c>
      <c r="AB210" s="31">
        <f>IF(AQ210="1",BH210,0)</f>
        <v>13998.721769250542</v>
      </c>
      <c r="AC210" s="31">
        <f>IF(AQ210="1",BI210,0)</f>
        <v>1881.7102307494556</v>
      </c>
      <c r="AD210" s="31">
        <f>IF(AQ210="7",BH210,0)</f>
        <v>0</v>
      </c>
      <c r="AE210" s="31">
        <f>IF(AQ210="7",BI210,0)</f>
        <v>0</v>
      </c>
      <c r="AF210" s="31">
        <f>IF(AQ210="2",BH210,0)</f>
        <v>0</v>
      </c>
      <c r="AG210" s="31">
        <f>IF(AQ210="2",BI210,0)</f>
        <v>0</v>
      </c>
      <c r="AH210" s="31">
        <f>IF(AQ210="0",BJ210,0)</f>
        <v>0</v>
      </c>
      <c r="AI210" s="12" t="s">
        <v>56</v>
      </c>
      <c r="AJ210" s="31">
        <f>IF(AN210=0,L210,0)</f>
        <v>0</v>
      </c>
      <c r="AK210" s="31">
        <f>IF(AN210=12,L210,0)</f>
        <v>0</v>
      </c>
      <c r="AL210" s="31">
        <f>IF(AN210=21,L210,0)</f>
        <v>15880.431999999999</v>
      </c>
      <c r="AN210" s="31">
        <v>21</v>
      </c>
      <c r="AO210" s="31">
        <f>H210*0.881507617</f>
        <v>27.600003488269998</v>
      </c>
      <c r="AP210" s="31">
        <f>H210*(1-0.881507617)</f>
        <v>3.7099965117299991</v>
      </c>
      <c r="AQ210" s="32" t="s">
        <v>59</v>
      </c>
      <c r="AV210" s="31">
        <f>AW210+AX210</f>
        <v>15880.431999999997</v>
      </c>
      <c r="AW210" s="31">
        <f>G210*AO210</f>
        <v>13998.721769250542</v>
      </c>
      <c r="AX210" s="31">
        <f>G210*AP210</f>
        <v>1881.7102307494556</v>
      </c>
      <c r="AY210" s="32" t="s">
        <v>361</v>
      </c>
      <c r="AZ210" s="32" t="s">
        <v>345</v>
      </c>
      <c r="BA210" s="12" t="s">
        <v>65</v>
      </c>
      <c r="BC210" s="31">
        <f>AW210+AX210</f>
        <v>15880.431999999997</v>
      </c>
      <c r="BD210" s="31">
        <f>H210/(100-BE210)*100</f>
        <v>31.31</v>
      </c>
      <c r="BE210" s="31">
        <v>0</v>
      </c>
      <c r="BF210" s="31">
        <f>O210</f>
        <v>2.8453919999999999</v>
      </c>
      <c r="BH210" s="31">
        <f>G210*AO210</f>
        <v>13998.721769250542</v>
      </c>
      <c r="BI210" s="31">
        <f>G210*AP210</f>
        <v>1881.7102307494556</v>
      </c>
      <c r="BJ210" s="31">
        <f>G210*H210</f>
        <v>15880.431999999999</v>
      </c>
      <c r="BK210" s="31"/>
      <c r="BL210" s="31">
        <v>57</v>
      </c>
      <c r="BW210" s="31" t="str">
        <f>I210</f>
        <v>21</v>
      </c>
      <c r="BX210" s="4" t="s">
        <v>360</v>
      </c>
    </row>
    <row r="211" spans="1:76">
      <c r="A211" s="34"/>
      <c r="D211" s="35" t="s">
        <v>346</v>
      </c>
      <c r="E211" s="35" t="s">
        <v>56</v>
      </c>
      <c r="G211" s="36">
        <v>507.2</v>
      </c>
      <c r="P211" s="37"/>
    </row>
    <row r="212" spans="1:76">
      <c r="A212" s="2" t="s">
        <v>362</v>
      </c>
      <c r="B212" s="3" t="s">
        <v>56</v>
      </c>
      <c r="C212" s="3" t="s">
        <v>363</v>
      </c>
      <c r="D212" s="74" t="s">
        <v>364</v>
      </c>
      <c r="E212" s="75"/>
      <c r="F212" s="3" t="s">
        <v>100</v>
      </c>
      <c r="G212" s="31">
        <v>507.2</v>
      </c>
      <c r="H212" s="31">
        <v>5.9</v>
      </c>
      <c r="I212" s="32" t="s">
        <v>63</v>
      </c>
      <c r="J212" s="31">
        <f>G212*AO212</f>
        <v>2267.1840010651199</v>
      </c>
      <c r="K212" s="31">
        <f>G212*AP212</f>
        <v>725.29599893488</v>
      </c>
      <c r="L212" s="31">
        <f>G212*H212</f>
        <v>2992.48</v>
      </c>
      <c r="M212" s="31">
        <f>L212*(1+BW212/100)</f>
        <v>3620.9007999999999</v>
      </c>
      <c r="N212" s="31">
        <v>2.9999999999999997E-4</v>
      </c>
      <c r="O212" s="31">
        <f>G212*N212</f>
        <v>0.15215999999999999</v>
      </c>
      <c r="P212" s="33" t="s">
        <v>85</v>
      </c>
      <c r="Z212" s="31">
        <f>IF(AQ212="5",BJ212,0)</f>
        <v>0</v>
      </c>
      <c r="AB212" s="31">
        <f>IF(AQ212="1",BH212,0)</f>
        <v>2267.1840010651199</v>
      </c>
      <c r="AC212" s="31">
        <f>IF(AQ212="1",BI212,0)</f>
        <v>725.29599893488</v>
      </c>
      <c r="AD212" s="31">
        <f>IF(AQ212="7",BH212,0)</f>
        <v>0</v>
      </c>
      <c r="AE212" s="31">
        <f>IF(AQ212="7",BI212,0)</f>
        <v>0</v>
      </c>
      <c r="AF212" s="31">
        <f>IF(AQ212="2",BH212,0)</f>
        <v>0</v>
      </c>
      <c r="AG212" s="31">
        <f>IF(AQ212="2",BI212,0)</f>
        <v>0</v>
      </c>
      <c r="AH212" s="31">
        <f>IF(AQ212="0",BJ212,0)</f>
        <v>0</v>
      </c>
      <c r="AI212" s="12" t="s">
        <v>56</v>
      </c>
      <c r="AJ212" s="31">
        <f>IF(AN212=0,L212,0)</f>
        <v>0</v>
      </c>
      <c r="AK212" s="31">
        <f>IF(AN212=12,L212,0)</f>
        <v>0</v>
      </c>
      <c r="AL212" s="31">
        <f>IF(AN212=21,L212,0)</f>
        <v>2992.48</v>
      </c>
      <c r="AN212" s="31">
        <v>21</v>
      </c>
      <c r="AO212" s="31">
        <f>H212*0.757627119</f>
        <v>4.4700000020999999</v>
      </c>
      <c r="AP212" s="31">
        <f>H212*(1-0.757627119)</f>
        <v>1.4299999979</v>
      </c>
      <c r="AQ212" s="32" t="s">
        <v>59</v>
      </c>
      <c r="AV212" s="31">
        <f>AW212+AX212</f>
        <v>2992.48</v>
      </c>
      <c r="AW212" s="31">
        <f>G212*AO212</f>
        <v>2267.1840010651199</v>
      </c>
      <c r="AX212" s="31">
        <f>G212*AP212</f>
        <v>725.29599893488</v>
      </c>
      <c r="AY212" s="32" t="s">
        <v>361</v>
      </c>
      <c r="AZ212" s="32" t="s">
        <v>345</v>
      </c>
      <c r="BA212" s="12" t="s">
        <v>65</v>
      </c>
      <c r="BC212" s="31">
        <f>AW212+AX212</f>
        <v>2992.48</v>
      </c>
      <c r="BD212" s="31">
        <f>H212/(100-BE212)*100</f>
        <v>5.9</v>
      </c>
      <c r="BE212" s="31">
        <v>0</v>
      </c>
      <c r="BF212" s="31">
        <f>O212</f>
        <v>0.15215999999999999</v>
      </c>
      <c r="BH212" s="31">
        <f>G212*AO212</f>
        <v>2267.1840010651199</v>
      </c>
      <c r="BI212" s="31">
        <f>G212*AP212</f>
        <v>725.29599893488</v>
      </c>
      <c r="BJ212" s="31">
        <f>G212*H212</f>
        <v>2992.48</v>
      </c>
      <c r="BK212" s="31"/>
      <c r="BL212" s="31">
        <v>57</v>
      </c>
      <c r="BW212" s="31" t="str">
        <f>I212</f>
        <v>21</v>
      </c>
      <c r="BX212" s="4" t="s">
        <v>364</v>
      </c>
    </row>
    <row r="213" spans="1:76">
      <c r="A213" s="34"/>
      <c r="D213" s="35" t="s">
        <v>346</v>
      </c>
      <c r="E213" s="35" t="s">
        <v>56</v>
      </c>
      <c r="G213" s="36">
        <v>507.2</v>
      </c>
      <c r="P213" s="37"/>
    </row>
    <row r="214" spans="1:76">
      <c r="A214" s="2" t="s">
        <v>365</v>
      </c>
      <c r="B214" s="3" t="s">
        <v>56</v>
      </c>
      <c r="C214" s="3" t="s">
        <v>366</v>
      </c>
      <c r="D214" s="74" t="s">
        <v>367</v>
      </c>
      <c r="E214" s="75"/>
      <c r="F214" s="3" t="s">
        <v>100</v>
      </c>
      <c r="G214" s="31">
        <v>507.2</v>
      </c>
      <c r="H214" s="31">
        <v>286.5</v>
      </c>
      <c r="I214" s="32" t="s">
        <v>63</v>
      </c>
      <c r="J214" s="31">
        <f>G214*AO214</f>
        <v>132546.5760205416</v>
      </c>
      <c r="K214" s="31">
        <f>G214*AP214</f>
        <v>12766.2239794584</v>
      </c>
      <c r="L214" s="31">
        <f>G214*H214</f>
        <v>145312.79999999999</v>
      </c>
      <c r="M214" s="31">
        <f>L214*(1+BW214/100)</f>
        <v>175828.48799999998</v>
      </c>
      <c r="N214" s="31">
        <v>0.10373</v>
      </c>
      <c r="O214" s="31">
        <f>G214*N214</f>
        <v>52.611856000000003</v>
      </c>
      <c r="P214" s="33" t="s">
        <v>85</v>
      </c>
      <c r="Z214" s="31">
        <f>IF(AQ214="5",BJ214,0)</f>
        <v>0</v>
      </c>
      <c r="AB214" s="31">
        <f>IF(AQ214="1",BH214,0)</f>
        <v>132546.5760205416</v>
      </c>
      <c r="AC214" s="31">
        <f>IF(AQ214="1",BI214,0)</f>
        <v>12766.2239794584</v>
      </c>
      <c r="AD214" s="31">
        <f>IF(AQ214="7",BH214,0)</f>
        <v>0</v>
      </c>
      <c r="AE214" s="31">
        <f>IF(AQ214="7",BI214,0)</f>
        <v>0</v>
      </c>
      <c r="AF214" s="31">
        <f>IF(AQ214="2",BH214,0)</f>
        <v>0</v>
      </c>
      <c r="AG214" s="31">
        <f>IF(AQ214="2",BI214,0)</f>
        <v>0</v>
      </c>
      <c r="AH214" s="31">
        <f>IF(AQ214="0",BJ214,0)</f>
        <v>0</v>
      </c>
      <c r="AI214" s="12" t="s">
        <v>56</v>
      </c>
      <c r="AJ214" s="31">
        <f>IF(AN214=0,L214,0)</f>
        <v>0</v>
      </c>
      <c r="AK214" s="31">
        <f>IF(AN214=12,L214,0)</f>
        <v>0</v>
      </c>
      <c r="AL214" s="31">
        <f>IF(AN214=21,L214,0)</f>
        <v>145312.79999999999</v>
      </c>
      <c r="AN214" s="31">
        <v>21</v>
      </c>
      <c r="AO214" s="31">
        <f>H214*0.912146597</f>
        <v>261.33000004050001</v>
      </c>
      <c r="AP214" s="31">
        <f>H214*(1-0.912146597)</f>
        <v>25.1699999595</v>
      </c>
      <c r="AQ214" s="32" t="s">
        <v>59</v>
      </c>
      <c r="AV214" s="31">
        <f>AW214+AX214</f>
        <v>145312.79999999999</v>
      </c>
      <c r="AW214" s="31">
        <f>G214*AO214</f>
        <v>132546.5760205416</v>
      </c>
      <c r="AX214" s="31">
        <f>G214*AP214</f>
        <v>12766.2239794584</v>
      </c>
      <c r="AY214" s="32" t="s">
        <v>361</v>
      </c>
      <c r="AZ214" s="32" t="s">
        <v>345</v>
      </c>
      <c r="BA214" s="12" t="s">
        <v>65</v>
      </c>
      <c r="BC214" s="31">
        <f>AW214+AX214</f>
        <v>145312.79999999999</v>
      </c>
      <c r="BD214" s="31">
        <f>H214/(100-BE214)*100</f>
        <v>286.5</v>
      </c>
      <c r="BE214" s="31">
        <v>0</v>
      </c>
      <c r="BF214" s="31">
        <f>O214</f>
        <v>52.611856000000003</v>
      </c>
      <c r="BH214" s="31">
        <f>G214*AO214</f>
        <v>132546.5760205416</v>
      </c>
      <c r="BI214" s="31">
        <f>G214*AP214</f>
        <v>12766.2239794584</v>
      </c>
      <c r="BJ214" s="31">
        <f>G214*H214</f>
        <v>145312.79999999999</v>
      </c>
      <c r="BK214" s="31"/>
      <c r="BL214" s="31">
        <v>57</v>
      </c>
      <c r="BW214" s="31" t="str">
        <f>I214</f>
        <v>21</v>
      </c>
      <c r="BX214" s="4" t="s">
        <v>367</v>
      </c>
    </row>
    <row r="215" spans="1:76">
      <c r="A215" s="34"/>
      <c r="D215" s="35" t="s">
        <v>346</v>
      </c>
      <c r="E215" s="35" t="s">
        <v>56</v>
      </c>
      <c r="G215" s="36">
        <v>507.2</v>
      </c>
      <c r="P215" s="37"/>
    </row>
    <row r="216" spans="1:76">
      <c r="A216" s="2" t="s">
        <v>368</v>
      </c>
      <c r="B216" s="3" t="s">
        <v>56</v>
      </c>
      <c r="C216" s="3" t="s">
        <v>369</v>
      </c>
      <c r="D216" s="74" t="s">
        <v>370</v>
      </c>
      <c r="E216" s="75"/>
      <c r="F216" s="3" t="s">
        <v>100</v>
      </c>
      <c r="G216" s="31">
        <v>132.80000000000001</v>
      </c>
      <c r="H216" s="31">
        <v>1508.98</v>
      </c>
      <c r="I216" s="32" t="s">
        <v>63</v>
      </c>
      <c r="J216" s="31">
        <f>G216*AO216</f>
        <v>132090.85070166728</v>
      </c>
      <c r="K216" s="31">
        <f>G216*AP216</f>
        <v>68301.693298332742</v>
      </c>
      <c r="L216" s="31">
        <f>G216*H216</f>
        <v>200392.54400000002</v>
      </c>
      <c r="M216" s="31">
        <f>L216*(1+BW216/100)</f>
        <v>242474.97824000003</v>
      </c>
      <c r="N216" s="31">
        <v>0.52037999999999995</v>
      </c>
      <c r="O216" s="31">
        <f>G216*N216</f>
        <v>69.106464000000003</v>
      </c>
      <c r="P216" s="33" t="s">
        <v>85</v>
      </c>
      <c r="Z216" s="31">
        <f>IF(AQ216="5",BJ216,0)</f>
        <v>0</v>
      </c>
      <c r="AB216" s="31">
        <f>IF(AQ216="1",BH216,0)</f>
        <v>132090.85070166728</v>
      </c>
      <c r="AC216" s="31">
        <f>IF(AQ216="1",BI216,0)</f>
        <v>68301.693298332742</v>
      </c>
      <c r="AD216" s="31">
        <f>IF(AQ216="7",BH216,0)</f>
        <v>0</v>
      </c>
      <c r="AE216" s="31">
        <f>IF(AQ216="7",BI216,0)</f>
        <v>0</v>
      </c>
      <c r="AF216" s="31">
        <f>IF(AQ216="2",BH216,0)</f>
        <v>0</v>
      </c>
      <c r="AG216" s="31">
        <f>IF(AQ216="2",BI216,0)</f>
        <v>0</v>
      </c>
      <c r="AH216" s="31">
        <f>IF(AQ216="0",BJ216,0)</f>
        <v>0</v>
      </c>
      <c r="AI216" s="12" t="s">
        <v>56</v>
      </c>
      <c r="AJ216" s="31">
        <f>IF(AN216=0,L216,0)</f>
        <v>0</v>
      </c>
      <c r="AK216" s="31">
        <f>IF(AN216=12,L216,0)</f>
        <v>0</v>
      </c>
      <c r="AL216" s="31">
        <f>IF(AN216=21,L216,0)</f>
        <v>200392.54400000002</v>
      </c>
      <c r="AN216" s="31">
        <v>21</v>
      </c>
      <c r="AO216" s="31">
        <f>H216*0.659160506</f>
        <v>994.66002034387998</v>
      </c>
      <c r="AP216" s="31">
        <f>H216*(1-0.659160506)</f>
        <v>514.31997965612004</v>
      </c>
      <c r="AQ216" s="32" t="s">
        <v>59</v>
      </c>
      <c r="AV216" s="31">
        <f>AW216+AX216</f>
        <v>200392.54400000002</v>
      </c>
      <c r="AW216" s="31">
        <f>G216*AO216</f>
        <v>132090.85070166728</v>
      </c>
      <c r="AX216" s="31">
        <f>G216*AP216</f>
        <v>68301.693298332742</v>
      </c>
      <c r="AY216" s="32" t="s">
        <v>361</v>
      </c>
      <c r="AZ216" s="32" t="s">
        <v>345</v>
      </c>
      <c r="BA216" s="12" t="s">
        <v>65</v>
      </c>
      <c r="BC216" s="31">
        <f>AW216+AX216</f>
        <v>200392.54400000002</v>
      </c>
      <c r="BD216" s="31">
        <f>H216/(100-BE216)*100</f>
        <v>1508.98</v>
      </c>
      <c r="BE216" s="31">
        <v>0</v>
      </c>
      <c r="BF216" s="31">
        <f>O216</f>
        <v>69.106464000000003</v>
      </c>
      <c r="BH216" s="31">
        <f>G216*AO216</f>
        <v>132090.85070166728</v>
      </c>
      <c r="BI216" s="31">
        <f>G216*AP216</f>
        <v>68301.693298332742</v>
      </c>
      <c r="BJ216" s="31">
        <f>G216*H216</f>
        <v>200392.54400000002</v>
      </c>
      <c r="BK216" s="31"/>
      <c r="BL216" s="31">
        <v>57</v>
      </c>
      <c r="BW216" s="31" t="str">
        <f>I216</f>
        <v>21</v>
      </c>
      <c r="BX216" s="4" t="s">
        <v>370</v>
      </c>
    </row>
    <row r="217" spans="1:76">
      <c r="A217" s="34"/>
      <c r="D217" s="35" t="s">
        <v>371</v>
      </c>
      <c r="E217" s="35" t="s">
        <v>56</v>
      </c>
      <c r="G217" s="36">
        <v>132.80000000000001</v>
      </c>
      <c r="P217" s="37"/>
    </row>
    <row r="218" spans="1:76">
      <c r="A218" s="38" t="s">
        <v>56</v>
      </c>
      <c r="B218" s="39" t="s">
        <v>56</v>
      </c>
      <c r="C218" s="39" t="s">
        <v>372</v>
      </c>
      <c r="D218" s="76" t="s">
        <v>373</v>
      </c>
      <c r="E218" s="77"/>
      <c r="F218" s="40" t="s">
        <v>4</v>
      </c>
      <c r="G218" s="40" t="s">
        <v>4</v>
      </c>
      <c r="H218" s="40" t="s">
        <v>4</v>
      </c>
      <c r="I218" s="40" t="s">
        <v>4</v>
      </c>
      <c r="J218" s="1">
        <f>SUM(J219:J219)</f>
        <v>11448.989981613202</v>
      </c>
      <c r="K218" s="1">
        <f>SUM(K219:K219)</f>
        <v>55684.210018386802</v>
      </c>
      <c r="L218" s="1">
        <f>SUM(L219:L219)</f>
        <v>67133.2</v>
      </c>
      <c r="M218" s="1">
        <f>SUM(M219:M219)</f>
        <v>81231.171999999991</v>
      </c>
      <c r="N218" s="12" t="s">
        <v>56</v>
      </c>
      <c r="O218" s="1">
        <f>SUM(O219:O219)</f>
        <v>15.799819999999999</v>
      </c>
      <c r="P218" s="41" t="s">
        <v>56</v>
      </c>
      <c r="AI218" s="12" t="s">
        <v>56</v>
      </c>
      <c r="AS218" s="1">
        <f>SUM(AJ219:AJ219)</f>
        <v>0</v>
      </c>
      <c r="AT218" s="1">
        <f>SUM(AK219:AK219)</f>
        <v>0</v>
      </c>
      <c r="AU218" s="1">
        <f>SUM(AL219:AL219)</f>
        <v>67133.2</v>
      </c>
    </row>
    <row r="219" spans="1:76">
      <c r="A219" s="2" t="s">
        <v>374</v>
      </c>
      <c r="B219" s="3" t="s">
        <v>56</v>
      </c>
      <c r="C219" s="3" t="s">
        <v>375</v>
      </c>
      <c r="D219" s="74" t="s">
        <v>376</v>
      </c>
      <c r="E219" s="75"/>
      <c r="F219" s="3" t="s">
        <v>100</v>
      </c>
      <c r="G219" s="31">
        <v>213.8</v>
      </c>
      <c r="H219" s="31">
        <v>314</v>
      </c>
      <c r="I219" s="32" t="s">
        <v>63</v>
      </c>
      <c r="J219" s="31">
        <f>G219*AO219</f>
        <v>11448.989981613202</v>
      </c>
      <c r="K219" s="31">
        <f>G219*AP219</f>
        <v>55684.210018386802</v>
      </c>
      <c r="L219" s="31">
        <f>G219*H219</f>
        <v>67133.2</v>
      </c>
      <c r="M219" s="31">
        <f>L219*(1+BW219/100)</f>
        <v>81231.171999999991</v>
      </c>
      <c r="N219" s="31">
        <v>7.3899999999999993E-2</v>
      </c>
      <c r="O219" s="31">
        <f>G219*N219</f>
        <v>15.799819999999999</v>
      </c>
      <c r="P219" s="33" t="s">
        <v>85</v>
      </c>
      <c r="Z219" s="31">
        <f>IF(AQ219="5",BJ219,0)</f>
        <v>0</v>
      </c>
      <c r="AB219" s="31">
        <f>IF(AQ219="1",BH219,0)</f>
        <v>11448.989981613202</v>
      </c>
      <c r="AC219" s="31">
        <f>IF(AQ219="1",BI219,0)</f>
        <v>55684.210018386802</v>
      </c>
      <c r="AD219" s="31">
        <f>IF(AQ219="7",BH219,0)</f>
        <v>0</v>
      </c>
      <c r="AE219" s="31">
        <f>IF(AQ219="7",BI219,0)</f>
        <v>0</v>
      </c>
      <c r="AF219" s="31">
        <f>IF(AQ219="2",BH219,0)</f>
        <v>0</v>
      </c>
      <c r="AG219" s="31">
        <f>IF(AQ219="2",BI219,0)</f>
        <v>0</v>
      </c>
      <c r="AH219" s="31">
        <f>IF(AQ219="0",BJ219,0)</f>
        <v>0</v>
      </c>
      <c r="AI219" s="12" t="s">
        <v>56</v>
      </c>
      <c r="AJ219" s="31">
        <f>IF(AN219=0,L219,0)</f>
        <v>0</v>
      </c>
      <c r="AK219" s="31">
        <f>IF(AN219=12,L219,0)</f>
        <v>0</v>
      </c>
      <c r="AL219" s="31">
        <f>IF(AN219=21,L219,0)</f>
        <v>67133.2</v>
      </c>
      <c r="AN219" s="31">
        <v>21</v>
      </c>
      <c r="AO219" s="31">
        <f>H219*0.170541401</f>
        <v>53.549999914000004</v>
      </c>
      <c r="AP219" s="31">
        <f>H219*(1-0.170541401)</f>
        <v>260.45000008599999</v>
      </c>
      <c r="AQ219" s="32" t="s">
        <v>59</v>
      </c>
      <c r="AV219" s="31">
        <f>AW219+AX219</f>
        <v>67133.200000000012</v>
      </c>
      <c r="AW219" s="31">
        <f>G219*AO219</f>
        <v>11448.989981613202</v>
      </c>
      <c r="AX219" s="31">
        <f>G219*AP219</f>
        <v>55684.210018386802</v>
      </c>
      <c r="AY219" s="32" t="s">
        <v>377</v>
      </c>
      <c r="AZ219" s="32" t="s">
        <v>345</v>
      </c>
      <c r="BA219" s="12" t="s">
        <v>65</v>
      </c>
      <c r="BC219" s="31">
        <f>AW219+AX219</f>
        <v>67133.200000000012</v>
      </c>
      <c r="BD219" s="31">
        <f>H219/(100-BE219)*100</f>
        <v>314</v>
      </c>
      <c r="BE219" s="31">
        <v>0</v>
      </c>
      <c r="BF219" s="31">
        <f>O219</f>
        <v>15.799819999999999</v>
      </c>
      <c r="BH219" s="31">
        <f>G219*AO219</f>
        <v>11448.989981613202</v>
      </c>
      <c r="BI219" s="31">
        <f>G219*AP219</f>
        <v>55684.210018386802</v>
      </c>
      <c r="BJ219" s="31">
        <f>G219*H219</f>
        <v>67133.2</v>
      </c>
      <c r="BK219" s="31"/>
      <c r="BL219" s="31">
        <v>59</v>
      </c>
      <c r="BW219" s="31" t="str">
        <f>I219</f>
        <v>21</v>
      </c>
      <c r="BX219" s="4" t="s">
        <v>376</v>
      </c>
    </row>
    <row r="220" spans="1:76">
      <c r="A220" s="34"/>
      <c r="D220" s="35" t="s">
        <v>378</v>
      </c>
      <c r="E220" s="35" t="s">
        <v>56</v>
      </c>
      <c r="G220" s="36">
        <v>213.8</v>
      </c>
      <c r="P220" s="37"/>
    </row>
    <row r="221" spans="1:76">
      <c r="A221" s="38" t="s">
        <v>56</v>
      </c>
      <c r="B221" s="39" t="s">
        <v>56</v>
      </c>
      <c r="C221" s="39" t="s">
        <v>379</v>
      </c>
      <c r="D221" s="76" t="s">
        <v>380</v>
      </c>
      <c r="E221" s="77"/>
      <c r="F221" s="40" t="s">
        <v>4</v>
      </c>
      <c r="G221" s="40" t="s">
        <v>4</v>
      </c>
      <c r="H221" s="40" t="s">
        <v>4</v>
      </c>
      <c r="I221" s="40" t="s">
        <v>4</v>
      </c>
      <c r="J221" s="1">
        <f>SUM(J222:J230)</f>
        <v>76733.746800535053</v>
      </c>
      <c r="K221" s="1">
        <f>SUM(K222:K230)</f>
        <v>15933.44069946494</v>
      </c>
      <c r="L221" s="1">
        <f>SUM(L222:L230)</f>
        <v>92667.1875</v>
      </c>
      <c r="M221" s="1">
        <f>SUM(M222:M230)</f>
        <v>112127.29687499997</v>
      </c>
      <c r="N221" s="12" t="s">
        <v>56</v>
      </c>
      <c r="O221" s="1">
        <f>SUM(O222:O230)</f>
        <v>0.39082381499999996</v>
      </c>
      <c r="P221" s="41" t="s">
        <v>56</v>
      </c>
      <c r="AI221" s="12" t="s">
        <v>56</v>
      </c>
      <c r="AS221" s="1">
        <f>SUM(AJ222:AJ230)</f>
        <v>0</v>
      </c>
      <c r="AT221" s="1">
        <f>SUM(AK222:AK230)</f>
        <v>0</v>
      </c>
      <c r="AU221" s="1">
        <f>SUM(AL222:AL230)</f>
        <v>92667.1875</v>
      </c>
    </row>
    <row r="222" spans="1:76">
      <c r="A222" s="2" t="s">
        <v>339</v>
      </c>
      <c r="B222" s="3" t="s">
        <v>56</v>
      </c>
      <c r="C222" s="3" t="s">
        <v>381</v>
      </c>
      <c r="D222" s="74" t="s">
        <v>382</v>
      </c>
      <c r="E222" s="75"/>
      <c r="F222" s="3" t="s">
        <v>84</v>
      </c>
      <c r="G222" s="31">
        <v>34.61</v>
      </c>
      <c r="H222" s="31">
        <v>299</v>
      </c>
      <c r="I222" s="32" t="s">
        <v>63</v>
      </c>
      <c r="J222" s="31">
        <f>G222*AO222</f>
        <v>315.98929941162999</v>
      </c>
      <c r="K222" s="31">
        <f>G222*AP222</f>
        <v>10032.40070058837</v>
      </c>
      <c r="L222" s="31">
        <f>G222*H222</f>
        <v>10348.39</v>
      </c>
      <c r="M222" s="31">
        <f>L222*(1+BW222/100)</f>
        <v>12521.551899999999</v>
      </c>
      <c r="N222" s="31">
        <v>3.1E-4</v>
      </c>
      <c r="O222" s="31">
        <f>G222*N222</f>
        <v>1.07291E-2</v>
      </c>
      <c r="P222" s="33" t="s">
        <v>85</v>
      </c>
      <c r="Z222" s="31">
        <f>IF(AQ222="5",BJ222,0)</f>
        <v>0</v>
      </c>
      <c r="AB222" s="31">
        <f>IF(AQ222="1",BH222,0)</f>
        <v>0</v>
      </c>
      <c r="AC222" s="31">
        <f>IF(AQ222="1",BI222,0)</f>
        <v>0</v>
      </c>
      <c r="AD222" s="31">
        <f>IF(AQ222="7",BH222,0)</f>
        <v>315.98929941162999</v>
      </c>
      <c r="AE222" s="31">
        <f>IF(AQ222="7",BI222,0)</f>
        <v>10032.40070058837</v>
      </c>
      <c r="AF222" s="31">
        <f>IF(AQ222="2",BH222,0)</f>
        <v>0</v>
      </c>
      <c r="AG222" s="31">
        <f>IF(AQ222="2",BI222,0)</f>
        <v>0</v>
      </c>
      <c r="AH222" s="31">
        <f>IF(AQ222="0",BJ222,0)</f>
        <v>0</v>
      </c>
      <c r="AI222" s="12" t="s">
        <v>56</v>
      </c>
      <c r="AJ222" s="31">
        <f>IF(AN222=0,L222,0)</f>
        <v>0</v>
      </c>
      <c r="AK222" s="31">
        <f>IF(AN222=12,L222,0)</f>
        <v>0</v>
      </c>
      <c r="AL222" s="31">
        <f>IF(AN222=21,L222,0)</f>
        <v>10348.39</v>
      </c>
      <c r="AN222" s="31">
        <v>21</v>
      </c>
      <c r="AO222" s="31">
        <f>H222*0.030535117</f>
        <v>9.1299999829999994</v>
      </c>
      <c r="AP222" s="31">
        <f>H222*(1-0.030535117)</f>
        <v>289.870000017</v>
      </c>
      <c r="AQ222" s="32" t="s">
        <v>97</v>
      </c>
      <c r="AV222" s="31">
        <f>AW222+AX222</f>
        <v>10348.390000000001</v>
      </c>
      <c r="AW222" s="31">
        <f>G222*AO222</f>
        <v>315.98929941162999</v>
      </c>
      <c r="AX222" s="31">
        <f>G222*AP222</f>
        <v>10032.40070058837</v>
      </c>
      <c r="AY222" s="32" t="s">
        <v>383</v>
      </c>
      <c r="AZ222" s="32" t="s">
        <v>384</v>
      </c>
      <c r="BA222" s="12" t="s">
        <v>65</v>
      </c>
      <c r="BC222" s="31">
        <f>AW222+AX222</f>
        <v>10348.390000000001</v>
      </c>
      <c r="BD222" s="31">
        <f>H222/(100-BE222)*100</f>
        <v>299</v>
      </c>
      <c r="BE222" s="31">
        <v>0</v>
      </c>
      <c r="BF222" s="31">
        <f>O222</f>
        <v>1.07291E-2</v>
      </c>
      <c r="BH222" s="31">
        <f>G222*AO222</f>
        <v>315.98929941162999</v>
      </c>
      <c r="BI222" s="31">
        <f>G222*AP222</f>
        <v>10032.40070058837</v>
      </c>
      <c r="BJ222" s="31">
        <f>G222*H222</f>
        <v>10348.39</v>
      </c>
      <c r="BK222" s="31"/>
      <c r="BL222" s="31">
        <v>722</v>
      </c>
      <c r="BW222" s="31" t="str">
        <f>I222</f>
        <v>21</v>
      </c>
      <c r="BX222" s="4" t="s">
        <v>382</v>
      </c>
    </row>
    <row r="223" spans="1:76">
      <c r="A223" s="34"/>
      <c r="D223" s="35" t="s">
        <v>385</v>
      </c>
      <c r="E223" s="35" t="s">
        <v>56</v>
      </c>
      <c r="G223" s="36">
        <v>21.11</v>
      </c>
      <c r="P223" s="37"/>
    </row>
    <row r="224" spans="1:76">
      <c r="A224" s="34"/>
      <c r="D224" s="35" t="s">
        <v>386</v>
      </c>
      <c r="E224" s="35" t="s">
        <v>56</v>
      </c>
      <c r="G224" s="36">
        <v>13.5</v>
      </c>
      <c r="P224" s="37"/>
    </row>
    <row r="225" spans="1:76">
      <c r="A225" s="2" t="s">
        <v>356</v>
      </c>
      <c r="B225" s="3" t="s">
        <v>56</v>
      </c>
      <c r="C225" s="3" t="s">
        <v>387</v>
      </c>
      <c r="D225" s="74" t="s">
        <v>388</v>
      </c>
      <c r="E225" s="75"/>
      <c r="F225" s="3" t="s">
        <v>84</v>
      </c>
      <c r="G225" s="31">
        <v>36.340499999999999</v>
      </c>
      <c r="H225" s="31">
        <v>1935</v>
      </c>
      <c r="I225" s="32" t="s">
        <v>63</v>
      </c>
      <c r="J225" s="31">
        <f>G225*AO225</f>
        <v>70318.867499999993</v>
      </c>
      <c r="K225" s="31">
        <f>G225*AP225</f>
        <v>0</v>
      </c>
      <c r="L225" s="31">
        <f>G225*H225</f>
        <v>70318.867499999993</v>
      </c>
      <c r="M225" s="31">
        <f>L225*(1+BW225/100)</f>
        <v>85085.829674999986</v>
      </c>
      <c r="N225" s="31">
        <v>9.0299999999999998E-3</v>
      </c>
      <c r="O225" s="31">
        <f>G225*N225</f>
        <v>0.32815471499999999</v>
      </c>
      <c r="P225" s="33" t="s">
        <v>56</v>
      </c>
      <c r="Z225" s="31">
        <f>IF(AQ225="5",BJ225,0)</f>
        <v>0</v>
      </c>
      <c r="AB225" s="31">
        <f>IF(AQ225="1",BH225,0)</f>
        <v>0</v>
      </c>
      <c r="AC225" s="31">
        <f>IF(AQ225="1",BI225,0)</f>
        <v>0</v>
      </c>
      <c r="AD225" s="31">
        <f>IF(AQ225="7",BH225,0)</f>
        <v>70318.867499999993</v>
      </c>
      <c r="AE225" s="31">
        <f>IF(AQ225="7",BI225,0)</f>
        <v>0</v>
      </c>
      <c r="AF225" s="31">
        <f>IF(AQ225="2",BH225,0)</f>
        <v>0</v>
      </c>
      <c r="AG225" s="31">
        <f>IF(AQ225="2",BI225,0)</f>
        <v>0</v>
      </c>
      <c r="AH225" s="31">
        <f>IF(AQ225="0",BJ225,0)</f>
        <v>0</v>
      </c>
      <c r="AI225" s="12" t="s">
        <v>56</v>
      </c>
      <c r="AJ225" s="31">
        <f>IF(AN225=0,L225,0)</f>
        <v>0</v>
      </c>
      <c r="AK225" s="31">
        <f>IF(AN225=12,L225,0)</f>
        <v>0</v>
      </c>
      <c r="AL225" s="31">
        <f>IF(AN225=21,L225,0)</f>
        <v>70318.867499999993</v>
      </c>
      <c r="AN225" s="31">
        <v>21</v>
      </c>
      <c r="AO225" s="31">
        <f>H225*1</f>
        <v>1935</v>
      </c>
      <c r="AP225" s="31">
        <f>H225*(1-1)</f>
        <v>0</v>
      </c>
      <c r="AQ225" s="32" t="s">
        <v>97</v>
      </c>
      <c r="AV225" s="31">
        <f>AW225+AX225</f>
        <v>70318.867499999993</v>
      </c>
      <c r="AW225" s="31">
        <f>G225*AO225</f>
        <v>70318.867499999993</v>
      </c>
      <c r="AX225" s="31">
        <f>G225*AP225</f>
        <v>0</v>
      </c>
      <c r="AY225" s="32" t="s">
        <v>383</v>
      </c>
      <c r="AZ225" s="32" t="s">
        <v>384</v>
      </c>
      <c r="BA225" s="12" t="s">
        <v>65</v>
      </c>
      <c r="BC225" s="31">
        <f>AW225+AX225</f>
        <v>70318.867499999993</v>
      </c>
      <c r="BD225" s="31">
        <f>H225/(100-BE225)*100</f>
        <v>1935.0000000000002</v>
      </c>
      <c r="BE225" s="31">
        <v>0</v>
      </c>
      <c r="BF225" s="31">
        <f>O225</f>
        <v>0.32815471499999999</v>
      </c>
      <c r="BH225" s="31">
        <f>G225*AO225</f>
        <v>70318.867499999993</v>
      </c>
      <c r="BI225" s="31">
        <f>G225*AP225</f>
        <v>0</v>
      </c>
      <c r="BJ225" s="31">
        <f>G225*H225</f>
        <v>70318.867499999993</v>
      </c>
      <c r="BK225" s="31"/>
      <c r="BL225" s="31">
        <v>722</v>
      </c>
      <c r="BW225" s="31" t="str">
        <f>I225</f>
        <v>21</v>
      </c>
      <c r="BX225" s="4" t="s">
        <v>388</v>
      </c>
    </row>
    <row r="226" spans="1:76">
      <c r="A226" s="34"/>
      <c r="D226" s="35" t="s">
        <v>389</v>
      </c>
      <c r="E226" s="35" t="s">
        <v>56</v>
      </c>
      <c r="G226" s="36">
        <v>36.340499999999999</v>
      </c>
      <c r="P226" s="37"/>
    </row>
    <row r="227" spans="1:76">
      <c r="A227" s="34"/>
      <c r="D227" s="35" t="s">
        <v>390</v>
      </c>
      <c r="E227" s="35" t="s">
        <v>56</v>
      </c>
      <c r="G227" s="36">
        <v>0</v>
      </c>
      <c r="P227" s="37"/>
    </row>
    <row r="228" spans="1:76">
      <c r="A228" s="2" t="s">
        <v>391</v>
      </c>
      <c r="B228" s="3" t="s">
        <v>56</v>
      </c>
      <c r="C228" s="3" t="s">
        <v>392</v>
      </c>
      <c r="D228" s="74" t="s">
        <v>393</v>
      </c>
      <c r="E228" s="75"/>
      <c r="F228" s="3" t="s">
        <v>62</v>
      </c>
      <c r="G228" s="31">
        <v>1</v>
      </c>
      <c r="H228" s="31">
        <v>5000</v>
      </c>
      <c r="I228" s="32" t="s">
        <v>63</v>
      </c>
      <c r="J228" s="31">
        <f>G228*AO228</f>
        <v>3333.33</v>
      </c>
      <c r="K228" s="31">
        <f>G228*AP228</f>
        <v>1666.67</v>
      </c>
      <c r="L228" s="31">
        <f>G228*H228</f>
        <v>5000</v>
      </c>
      <c r="M228" s="31">
        <f>L228*(1+BW228/100)</f>
        <v>6050</v>
      </c>
      <c r="N228" s="31">
        <v>0</v>
      </c>
      <c r="O228" s="31">
        <f>G228*N228</f>
        <v>0</v>
      </c>
      <c r="P228" s="33" t="s">
        <v>56</v>
      </c>
      <c r="Z228" s="31">
        <f>IF(AQ228="5",BJ228,0)</f>
        <v>0</v>
      </c>
      <c r="AB228" s="31">
        <f>IF(AQ228="1",BH228,0)</f>
        <v>0</v>
      </c>
      <c r="AC228" s="31">
        <f>IF(AQ228="1",BI228,0)</f>
        <v>0</v>
      </c>
      <c r="AD228" s="31">
        <f>IF(AQ228="7",BH228,0)</f>
        <v>3333.33</v>
      </c>
      <c r="AE228" s="31">
        <f>IF(AQ228="7",BI228,0)</f>
        <v>1666.67</v>
      </c>
      <c r="AF228" s="31">
        <f>IF(AQ228="2",BH228,0)</f>
        <v>0</v>
      </c>
      <c r="AG228" s="31">
        <f>IF(AQ228="2",BI228,0)</f>
        <v>0</v>
      </c>
      <c r="AH228" s="31">
        <f>IF(AQ228="0",BJ228,0)</f>
        <v>0</v>
      </c>
      <c r="AI228" s="12" t="s">
        <v>56</v>
      </c>
      <c r="AJ228" s="31">
        <f>IF(AN228=0,L228,0)</f>
        <v>0</v>
      </c>
      <c r="AK228" s="31">
        <f>IF(AN228=12,L228,0)</f>
        <v>0</v>
      </c>
      <c r="AL228" s="31">
        <f>IF(AN228=21,L228,0)</f>
        <v>5000</v>
      </c>
      <c r="AN228" s="31">
        <v>21</v>
      </c>
      <c r="AO228" s="31">
        <f>H228*0.666666</f>
        <v>3333.33</v>
      </c>
      <c r="AP228" s="31">
        <f>H228*(1-0.666666)</f>
        <v>1666.67</v>
      </c>
      <c r="AQ228" s="32" t="s">
        <v>97</v>
      </c>
      <c r="AV228" s="31">
        <f>AW228+AX228</f>
        <v>5000</v>
      </c>
      <c r="AW228" s="31">
        <f>G228*AO228</f>
        <v>3333.33</v>
      </c>
      <c r="AX228" s="31">
        <f>G228*AP228</f>
        <v>1666.67</v>
      </c>
      <c r="AY228" s="32" t="s">
        <v>383</v>
      </c>
      <c r="AZ228" s="32" t="s">
        <v>384</v>
      </c>
      <c r="BA228" s="12" t="s">
        <v>65</v>
      </c>
      <c r="BC228" s="31">
        <f>AW228+AX228</f>
        <v>5000</v>
      </c>
      <c r="BD228" s="31">
        <f>H228/(100-BE228)*100</f>
        <v>5000</v>
      </c>
      <c r="BE228" s="31">
        <v>0</v>
      </c>
      <c r="BF228" s="31">
        <f>O228</f>
        <v>0</v>
      </c>
      <c r="BH228" s="31">
        <f>G228*AO228</f>
        <v>3333.33</v>
      </c>
      <c r="BI228" s="31">
        <f>G228*AP228</f>
        <v>1666.67</v>
      </c>
      <c r="BJ228" s="31">
        <f>G228*H228</f>
        <v>5000</v>
      </c>
      <c r="BK228" s="31"/>
      <c r="BL228" s="31">
        <v>722</v>
      </c>
      <c r="BW228" s="31" t="str">
        <f>I228</f>
        <v>21</v>
      </c>
      <c r="BX228" s="4" t="s">
        <v>393</v>
      </c>
    </row>
    <row r="229" spans="1:76">
      <c r="A229" s="34"/>
      <c r="D229" s="35" t="s">
        <v>394</v>
      </c>
      <c r="E229" s="35" t="s">
        <v>56</v>
      </c>
      <c r="G229" s="36">
        <v>1</v>
      </c>
      <c r="P229" s="37"/>
    </row>
    <row r="230" spans="1:76">
      <c r="A230" s="2" t="s">
        <v>372</v>
      </c>
      <c r="B230" s="3" t="s">
        <v>56</v>
      </c>
      <c r="C230" s="3" t="s">
        <v>395</v>
      </c>
      <c r="D230" s="74" t="s">
        <v>396</v>
      </c>
      <c r="E230" s="75"/>
      <c r="F230" s="3" t="s">
        <v>77</v>
      </c>
      <c r="G230" s="31">
        <v>7</v>
      </c>
      <c r="H230" s="31">
        <v>999.99</v>
      </c>
      <c r="I230" s="32" t="s">
        <v>63</v>
      </c>
      <c r="J230" s="31">
        <f>G230*AO230</f>
        <v>2765.5600011234301</v>
      </c>
      <c r="K230" s="31">
        <f>G230*AP230</f>
        <v>4234.3699988765702</v>
      </c>
      <c r="L230" s="31">
        <f>G230*H230</f>
        <v>6999.93</v>
      </c>
      <c r="M230" s="31">
        <f>L230*(1+BW230/100)</f>
        <v>8469.9153000000006</v>
      </c>
      <c r="N230" s="31">
        <v>7.4200000000000004E-3</v>
      </c>
      <c r="O230" s="31">
        <f>G230*N230</f>
        <v>5.194E-2</v>
      </c>
      <c r="P230" s="33" t="s">
        <v>85</v>
      </c>
      <c r="Z230" s="31">
        <f>IF(AQ230="5",BJ230,0)</f>
        <v>0</v>
      </c>
      <c r="AB230" s="31">
        <f>IF(AQ230="1",BH230,0)</f>
        <v>0</v>
      </c>
      <c r="AC230" s="31">
        <f>IF(AQ230="1",BI230,0)</f>
        <v>0</v>
      </c>
      <c r="AD230" s="31">
        <f>IF(AQ230="7",BH230,0)</f>
        <v>2765.5600011234301</v>
      </c>
      <c r="AE230" s="31">
        <f>IF(AQ230="7",BI230,0)</f>
        <v>4234.3699988765702</v>
      </c>
      <c r="AF230" s="31">
        <f>IF(AQ230="2",BH230,0)</f>
        <v>0</v>
      </c>
      <c r="AG230" s="31">
        <f>IF(AQ230="2",BI230,0)</f>
        <v>0</v>
      </c>
      <c r="AH230" s="31">
        <f>IF(AQ230="0",BJ230,0)</f>
        <v>0</v>
      </c>
      <c r="AI230" s="12" t="s">
        <v>56</v>
      </c>
      <c r="AJ230" s="31">
        <f>IF(AN230=0,L230,0)</f>
        <v>0</v>
      </c>
      <c r="AK230" s="31">
        <f>IF(AN230=12,L230,0)</f>
        <v>0</v>
      </c>
      <c r="AL230" s="31">
        <f>IF(AN230=21,L230,0)</f>
        <v>6999.93</v>
      </c>
      <c r="AN230" s="31">
        <v>21</v>
      </c>
      <c r="AO230" s="31">
        <f>H230*0.395083951</f>
        <v>395.08000016048999</v>
      </c>
      <c r="AP230" s="31">
        <f>H230*(1-0.395083951)</f>
        <v>604.90999983951008</v>
      </c>
      <c r="AQ230" s="32" t="s">
        <v>97</v>
      </c>
      <c r="AV230" s="31">
        <f>AW230+AX230</f>
        <v>6999.93</v>
      </c>
      <c r="AW230" s="31">
        <f>G230*AO230</f>
        <v>2765.5600011234301</v>
      </c>
      <c r="AX230" s="31">
        <f>G230*AP230</f>
        <v>4234.3699988765702</v>
      </c>
      <c r="AY230" s="32" t="s">
        <v>383</v>
      </c>
      <c r="AZ230" s="32" t="s">
        <v>384</v>
      </c>
      <c r="BA230" s="12" t="s">
        <v>65</v>
      </c>
      <c r="BC230" s="31">
        <f>AW230+AX230</f>
        <v>6999.93</v>
      </c>
      <c r="BD230" s="31">
        <f>H230/(100-BE230)*100</f>
        <v>999.99</v>
      </c>
      <c r="BE230" s="31">
        <v>0</v>
      </c>
      <c r="BF230" s="31">
        <f>O230</f>
        <v>5.194E-2</v>
      </c>
      <c r="BH230" s="31">
        <f>G230*AO230</f>
        <v>2765.5600011234301</v>
      </c>
      <c r="BI230" s="31">
        <f>G230*AP230</f>
        <v>4234.3699988765702</v>
      </c>
      <c r="BJ230" s="31">
        <f>G230*H230</f>
        <v>6999.93</v>
      </c>
      <c r="BK230" s="31"/>
      <c r="BL230" s="31">
        <v>722</v>
      </c>
      <c r="BW230" s="31" t="str">
        <f>I230</f>
        <v>21</v>
      </c>
      <c r="BX230" s="4" t="s">
        <v>396</v>
      </c>
    </row>
    <row r="231" spans="1:76">
      <c r="A231" s="34"/>
      <c r="D231" s="35" t="s">
        <v>397</v>
      </c>
      <c r="E231" s="35" t="s">
        <v>56</v>
      </c>
      <c r="G231" s="36">
        <v>7</v>
      </c>
      <c r="P231" s="37"/>
    </row>
    <row r="232" spans="1:76">
      <c r="A232" s="38" t="s">
        <v>56</v>
      </c>
      <c r="B232" s="39" t="s">
        <v>56</v>
      </c>
      <c r="C232" s="39" t="s">
        <v>398</v>
      </c>
      <c r="D232" s="76" t="s">
        <v>399</v>
      </c>
      <c r="E232" s="77"/>
      <c r="F232" s="40" t="s">
        <v>4</v>
      </c>
      <c r="G232" s="40" t="s">
        <v>4</v>
      </c>
      <c r="H232" s="40" t="s">
        <v>4</v>
      </c>
      <c r="I232" s="40" t="s">
        <v>4</v>
      </c>
      <c r="J232" s="1">
        <f>SUM(J233:J280)</f>
        <v>392228.29000703094</v>
      </c>
      <c r="K232" s="1">
        <f>SUM(K233:K280)</f>
        <v>41552.299992969056</v>
      </c>
      <c r="L232" s="1">
        <f>SUM(L233:L280)</f>
        <v>433780.59</v>
      </c>
      <c r="M232" s="1">
        <f>SUM(M233:M280)</f>
        <v>524874.5138999999</v>
      </c>
      <c r="N232" s="12" t="s">
        <v>56</v>
      </c>
      <c r="O232" s="1">
        <f>SUM(O233:O280)</f>
        <v>0.24</v>
      </c>
      <c r="P232" s="41" t="s">
        <v>56</v>
      </c>
      <c r="AI232" s="12" t="s">
        <v>56</v>
      </c>
      <c r="AS232" s="1">
        <f>SUM(AJ233:AJ280)</f>
        <v>0</v>
      </c>
      <c r="AT232" s="1">
        <f>SUM(AK233:AK280)</f>
        <v>0</v>
      </c>
      <c r="AU232" s="1">
        <f>SUM(AL233:AL280)</f>
        <v>433780.59</v>
      </c>
    </row>
    <row r="233" spans="1:76">
      <c r="A233" s="2" t="s">
        <v>400</v>
      </c>
      <c r="B233" s="3" t="s">
        <v>56</v>
      </c>
      <c r="C233" s="3" t="s">
        <v>401</v>
      </c>
      <c r="D233" s="74" t="s">
        <v>402</v>
      </c>
      <c r="E233" s="75"/>
      <c r="F233" s="3" t="s">
        <v>77</v>
      </c>
      <c r="G233" s="31">
        <v>52</v>
      </c>
      <c r="H233" s="31">
        <v>642.99</v>
      </c>
      <c r="I233" s="32" t="s">
        <v>63</v>
      </c>
      <c r="J233" s="31">
        <f>G233*AO233</f>
        <v>1.0400106054</v>
      </c>
      <c r="K233" s="31">
        <f>G233*AP233</f>
        <v>33434.439989394596</v>
      </c>
      <c r="L233" s="31">
        <f>G233*H233</f>
        <v>33435.480000000003</v>
      </c>
      <c r="M233" s="31">
        <f>L233*(1+BW233/100)</f>
        <v>40456.930800000002</v>
      </c>
      <c r="N233" s="31">
        <v>0</v>
      </c>
      <c r="O233" s="31">
        <f>G233*N233</f>
        <v>0</v>
      </c>
      <c r="P233" s="33" t="s">
        <v>85</v>
      </c>
      <c r="Z233" s="31">
        <f>IF(AQ233="5",BJ233,0)</f>
        <v>0</v>
      </c>
      <c r="AB233" s="31">
        <f>IF(AQ233="1",BH233,0)</f>
        <v>1.0400106054</v>
      </c>
      <c r="AC233" s="31">
        <f>IF(AQ233="1",BI233,0)</f>
        <v>33434.439989394596</v>
      </c>
      <c r="AD233" s="31">
        <f>IF(AQ233="7",BH233,0)</f>
        <v>0</v>
      </c>
      <c r="AE233" s="31">
        <f>IF(AQ233="7",BI233,0)</f>
        <v>0</v>
      </c>
      <c r="AF233" s="31">
        <f>IF(AQ233="2",BH233,0)</f>
        <v>0</v>
      </c>
      <c r="AG233" s="31">
        <f>IF(AQ233="2",BI233,0)</f>
        <v>0</v>
      </c>
      <c r="AH233" s="31">
        <f>IF(AQ233="0",BJ233,0)</f>
        <v>0</v>
      </c>
      <c r="AI233" s="12" t="s">
        <v>56</v>
      </c>
      <c r="AJ233" s="31">
        <f>IF(AN233=0,L233,0)</f>
        <v>0</v>
      </c>
      <c r="AK233" s="31">
        <f>IF(AN233=12,L233,0)</f>
        <v>0</v>
      </c>
      <c r="AL233" s="31">
        <f>IF(AN233=21,L233,0)</f>
        <v>33435.480000000003</v>
      </c>
      <c r="AN233" s="31">
        <v>21</v>
      </c>
      <c r="AO233" s="31">
        <f>H233*0.000031105</f>
        <v>2.000020395E-2</v>
      </c>
      <c r="AP233" s="31">
        <f>H233*(1-0.000031105)</f>
        <v>642.96999979604993</v>
      </c>
      <c r="AQ233" s="32" t="s">
        <v>59</v>
      </c>
      <c r="AV233" s="31">
        <f>AW233+AX233</f>
        <v>33435.479999999996</v>
      </c>
      <c r="AW233" s="31">
        <f>G233*AO233</f>
        <v>1.0400106054</v>
      </c>
      <c r="AX233" s="31">
        <f>G233*AP233</f>
        <v>33434.439989394596</v>
      </c>
      <c r="AY233" s="32" t="s">
        <v>403</v>
      </c>
      <c r="AZ233" s="32" t="s">
        <v>404</v>
      </c>
      <c r="BA233" s="12" t="s">
        <v>65</v>
      </c>
      <c r="BC233" s="31">
        <f>AW233+AX233</f>
        <v>33435.479999999996</v>
      </c>
      <c r="BD233" s="31">
        <f>H233/(100-BE233)*100</f>
        <v>642.99</v>
      </c>
      <c r="BE233" s="31">
        <v>0</v>
      </c>
      <c r="BF233" s="31">
        <f>O233</f>
        <v>0</v>
      </c>
      <c r="BH233" s="31">
        <f>G233*AO233</f>
        <v>1.0400106054</v>
      </c>
      <c r="BI233" s="31">
        <f>G233*AP233</f>
        <v>33434.439989394596</v>
      </c>
      <c r="BJ233" s="31">
        <f>G233*H233</f>
        <v>33435.480000000003</v>
      </c>
      <c r="BK233" s="31"/>
      <c r="BL233" s="31">
        <v>85</v>
      </c>
      <c r="BW233" s="31" t="str">
        <f>I233</f>
        <v>21</v>
      </c>
      <c r="BX233" s="4" t="s">
        <v>402</v>
      </c>
    </row>
    <row r="234" spans="1:76">
      <c r="A234" s="34"/>
      <c r="D234" s="35" t="s">
        <v>405</v>
      </c>
      <c r="E234" s="35" t="s">
        <v>56</v>
      </c>
      <c r="G234" s="36">
        <v>10</v>
      </c>
      <c r="P234" s="37"/>
    </row>
    <row r="235" spans="1:76">
      <c r="A235" s="34"/>
      <c r="D235" s="35" t="s">
        <v>406</v>
      </c>
      <c r="E235" s="35" t="s">
        <v>56</v>
      </c>
      <c r="G235" s="36">
        <v>10</v>
      </c>
      <c r="P235" s="37"/>
    </row>
    <row r="236" spans="1:76">
      <c r="A236" s="34"/>
      <c r="D236" s="35" t="s">
        <v>407</v>
      </c>
      <c r="E236" s="35" t="s">
        <v>56</v>
      </c>
      <c r="G236" s="36">
        <v>10</v>
      </c>
      <c r="P236" s="37"/>
    </row>
    <row r="237" spans="1:76">
      <c r="A237" s="34"/>
      <c r="D237" s="35" t="s">
        <v>408</v>
      </c>
      <c r="E237" s="35" t="s">
        <v>56</v>
      </c>
      <c r="G237" s="36">
        <v>10</v>
      </c>
      <c r="P237" s="37"/>
    </row>
    <row r="238" spans="1:76">
      <c r="A238" s="34"/>
      <c r="D238" s="35" t="s">
        <v>409</v>
      </c>
      <c r="E238" s="35" t="s">
        <v>56</v>
      </c>
      <c r="G238" s="36">
        <v>10</v>
      </c>
      <c r="P238" s="37"/>
    </row>
    <row r="239" spans="1:76">
      <c r="A239" s="34"/>
      <c r="D239" s="35" t="s">
        <v>410</v>
      </c>
      <c r="E239" s="35" t="s">
        <v>56</v>
      </c>
      <c r="G239" s="36">
        <v>2</v>
      </c>
      <c r="P239" s="37"/>
    </row>
    <row r="240" spans="1:76">
      <c r="A240" s="2" t="s">
        <v>411</v>
      </c>
      <c r="B240" s="3" t="s">
        <v>56</v>
      </c>
      <c r="C240" s="3" t="s">
        <v>412</v>
      </c>
      <c r="D240" s="74" t="s">
        <v>413</v>
      </c>
      <c r="E240" s="75"/>
      <c r="F240" s="3" t="s">
        <v>77</v>
      </c>
      <c r="G240" s="31">
        <v>10</v>
      </c>
      <c r="H240" s="31">
        <v>198</v>
      </c>
      <c r="I240" s="32" t="s">
        <v>63</v>
      </c>
      <c r="J240" s="31">
        <f>G240*AO240</f>
        <v>1980</v>
      </c>
      <c r="K240" s="31">
        <f>G240*AP240</f>
        <v>0</v>
      </c>
      <c r="L240" s="31">
        <f>G240*H240</f>
        <v>1980</v>
      </c>
      <c r="M240" s="31">
        <f>L240*(1+BW240/100)</f>
        <v>2395.7999999999997</v>
      </c>
      <c r="N240" s="31">
        <v>0</v>
      </c>
      <c r="O240" s="31">
        <f>G240*N240</f>
        <v>0</v>
      </c>
      <c r="P240" s="33" t="s">
        <v>56</v>
      </c>
      <c r="Z240" s="31">
        <f>IF(AQ240="5",BJ240,0)</f>
        <v>0</v>
      </c>
      <c r="AB240" s="31">
        <f>IF(AQ240="1",BH240,0)</f>
        <v>1980</v>
      </c>
      <c r="AC240" s="31">
        <f>IF(AQ240="1",BI240,0)</f>
        <v>0</v>
      </c>
      <c r="AD240" s="31">
        <f>IF(AQ240="7",BH240,0)</f>
        <v>0</v>
      </c>
      <c r="AE240" s="31">
        <f>IF(AQ240="7",BI240,0)</f>
        <v>0</v>
      </c>
      <c r="AF240" s="31">
        <f>IF(AQ240="2",BH240,0)</f>
        <v>0</v>
      </c>
      <c r="AG240" s="31">
        <f>IF(AQ240="2",BI240,0)</f>
        <v>0</v>
      </c>
      <c r="AH240" s="31">
        <f>IF(AQ240="0",BJ240,0)</f>
        <v>0</v>
      </c>
      <c r="AI240" s="12" t="s">
        <v>56</v>
      </c>
      <c r="AJ240" s="31">
        <f>IF(AN240=0,L240,0)</f>
        <v>0</v>
      </c>
      <c r="AK240" s="31">
        <f>IF(AN240=12,L240,0)</f>
        <v>0</v>
      </c>
      <c r="AL240" s="31">
        <f>IF(AN240=21,L240,0)</f>
        <v>1980</v>
      </c>
      <c r="AN240" s="31">
        <v>21</v>
      </c>
      <c r="AO240" s="31">
        <f>H240*1</f>
        <v>198</v>
      </c>
      <c r="AP240" s="31">
        <f>H240*(1-1)</f>
        <v>0</v>
      </c>
      <c r="AQ240" s="32" t="s">
        <v>59</v>
      </c>
      <c r="AV240" s="31">
        <f>AW240+AX240</f>
        <v>1980</v>
      </c>
      <c r="AW240" s="31">
        <f>G240*AO240</f>
        <v>1980</v>
      </c>
      <c r="AX240" s="31">
        <f>G240*AP240</f>
        <v>0</v>
      </c>
      <c r="AY240" s="32" t="s">
        <v>403</v>
      </c>
      <c r="AZ240" s="32" t="s">
        <v>404</v>
      </c>
      <c r="BA240" s="12" t="s">
        <v>65</v>
      </c>
      <c r="BC240" s="31">
        <f>AW240+AX240</f>
        <v>1980</v>
      </c>
      <c r="BD240" s="31">
        <f>H240/(100-BE240)*100</f>
        <v>198</v>
      </c>
      <c r="BE240" s="31">
        <v>0</v>
      </c>
      <c r="BF240" s="31">
        <f>O240</f>
        <v>0</v>
      </c>
      <c r="BH240" s="31">
        <f>G240*AO240</f>
        <v>1980</v>
      </c>
      <c r="BI240" s="31">
        <f>G240*AP240</f>
        <v>0</v>
      </c>
      <c r="BJ240" s="31">
        <f>G240*H240</f>
        <v>1980</v>
      </c>
      <c r="BK240" s="31"/>
      <c r="BL240" s="31">
        <v>85</v>
      </c>
      <c r="BW240" s="31" t="str">
        <f>I240</f>
        <v>21</v>
      </c>
      <c r="BX240" s="4" t="s">
        <v>413</v>
      </c>
    </row>
    <row r="241" spans="1:76">
      <c r="A241" s="34"/>
      <c r="D241" s="35" t="s">
        <v>414</v>
      </c>
      <c r="E241" s="35" t="s">
        <v>56</v>
      </c>
      <c r="G241" s="36">
        <v>3</v>
      </c>
      <c r="P241" s="37"/>
    </row>
    <row r="242" spans="1:76">
      <c r="A242" s="34"/>
      <c r="D242" s="35" t="s">
        <v>415</v>
      </c>
      <c r="E242" s="35" t="s">
        <v>56</v>
      </c>
      <c r="G242" s="36">
        <v>4</v>
      </c>
      <c r="P242" s="37"/>
    </row>
    <row r="243" spans="1:76">
      <c r="A243" s="34"/>
      <c r="D243" s="35" t="s">
        <v>416</v>
      </c>
      <c r="E243" s="35" t="s">
        <v>56</v>
      </c>
      <c r="G243" s="36">
        <v>3</v>
      </c>
      <c r="P243" s="37"/>
    </row>
    <row r="244" spans="1:76">
      <c r="A244" s="2" t="s">
        <v>417</v>
      </c>
      <c r="B244" s="3" t="s">
        <v>56</v>
      </c>
      <c r="C244" s="3" t="s">
        <v>418</v>
      </c>
      <c r="D244" s="74" t="s">
        <v>419</v>
      </c>
      <c r="E244" s="75"/>
      <c r="F244" s="3" t="s">
        <v>77</v>
      </c>
      <c r="G244" s="31">
        <v>10</v>
      </c>
      <c r="H244" s="31">
        <v>575</v>
      </c>
      <c r="I244" s="32" t="s">
        <v>63</v>
      </c>
      <c r="J244" s="31">
        <f>G244*AO244</f>
        <v>5750</v>
      </c>
      <c r="K244" s="31">
        <f>G244*AP244</f>
        <v>0</v>
      </c>
      <c r="L244" s="31">
        <f>G244*H244</f>
        <v>5750</v>
      </c>
      <c r="M244" s="31">
        <f>L244*(1+BW244/100)</f>
        <v>6957.5</v>
      </c>
      <c r="N244" s="31">
        <v>0</v>
      </c>
      <c r="O244" s="31">
        <f>G244*N244</f>
        <v>0</v>
      </c>
      <c r="P244" s="33" t="s">
        <v>56</v>
      </c>
      <c r="Z244" s="31">
        <f>IF(AQ244="5",BJ244,0)</f>
        <v>0</v>
      </c>
      <c r="AB244" s="31">
        <f>IF(AQ244="1",BH244,0)</f>
        <v>5750</v>
      </c>
      <c r="AC244" s="31">
        <f>IF(AQ244="1",BI244,0)</f>
        <v>0</v>
      </c>
      <c r="AD244" s="31">
        <f>IF(AQ244="7",BH244,0)</f>
        <v>0</v>
      </c>
      <c r="AE244" s="31">
        <f>IF(AQ244="7",BI244,0)</f>
        <v>0</v>
      </c>
      <c r="AF244" s="31">
        <f>IF(AQ244="2",BH244,0)</f>
        <v>0</v>
      </c>
      <c r="AG244" s="31">
        <f>IF(AQ244="2",BI244,0)</f>
        <v>0</v>
      </c>
      <c r="AH244" s="31">
        <f>IF(AQ244="0",BJ244,0)</f>
        <v>0</v>
      </c>
      <c r="AI244" s="12" t="s">
        <v>56</v>
      </c>
      <c r="AJ244" s="31">
        <f>IF(AN244=0,L244,0)</f>
        <v>0</v>
      </c>
      <c r="AK244" s="31">
        <f>IF(AN244=12,L244,0)</f>
        <v>0</v>
      </c>
      <c r="AL244" s="31">
        <f>IF(AN244=21,L244,0)</f>
        <v>5750</v>
      </c>
      <c r="AN244" s="31">
        <v>21</v>
      </c>
      <c r="AO244" s="31">
        <f>H244*1</f>
        <v>575</v>
      </c>
      <c r="AP244" s="31">
        <f>H244*(1-1)</f>
        <v>0</v>
      </c>
      <c r="AQ244" s="32" t="s">
        <v>59</v>
      </c>
      <c r="AV244" s="31">
        <f>AW244+AX244</f>
        <v>5750</v>
      </c>
      <c r="AW244" s="31">
        <f>G244*AO244</f>
        <v>5750</v>
      </c>
      <c r="AX244" s="31">
        <f>G244*AP244</f>
        <v>0</v>
      </c>
      <c r="AY244" s="32" t="s">
        <v>403</v>
      </c>
      <c r="AZ244" s="32" t="s">
        <v>404</v>
      </c>
      <c r="BA244" s="12" t="s">
        <v>65</v>
      </c>
      <c r="BC244" s="31">
        <f>AW244+AX244</f>
        <v>5750</v>
      </c>
      <c r="BD244" s="31">
        <f>H244/(100-BE244)*100</f>
        <v>575</v>
      </c>
      <c r="BE244" s="31">
        <v>0</v>
      </c>
      <c r="BF244" s="31">
        <f>O244</f>
        <v>0</v>
      </c>
      <c r="BH244" s="31">
        <f>G244*AO244</f>
        <v>5750</v>
      </c>
      <c r="BI244" s="31">
        <f>G244*AP244</f>
        <v>0</v>
      </c>
      <c r="BJ244" s="31">
        <f>G244*H244</f>
        <v>5750</v>
      </c>
      <c r="BK244" s="31"/>
      <c r="BL244" s="31">
        <v>85</v>
      </c>
      <c r="BW244" s="31" t="str">
        <f>I244</f>
        <v>21</v>
      </c>
      <c r="BX244" s="4" t="s">
        <v>419</v>
      </c>
    </row>
    <row r="245" spans="1:76">
      <c r="A245" s="34"/>
      <c r="D245" s="35" t="s">
        <v>414</v>
      </c>
      <c r="E245" s="35" t="s">
        <v>56</v>
      </c>
      <c r="G245" s="36">
        <v>3</v>
      </c>
      <c r="P245" s="37"/>
    </row>
    <row r="246" spans="1:76">
      <c r="A246" s="34"/>
      <c r="D246" s="35" t="s">
        <v>415</v>
      </c>
      <c r="E246" s="35" t="s">
        <v>56</v>
      </c>
      <c r="G246" s="36">
        <v>4</v>
      </c>
      <c r="P246" s="37"/>
    </row>
    <row r="247" spans="1:76">
      <c r="A247" s="34"/>
      <c r="D247" s="35" t="s">
        <v>416</v>
      </c>
      <c r="E247" s="35" t="s">
        <v>56</v>
      </c>
      <c r="G247" s="36">
        <v>3</v>
      </c>
      <c r="P247" s="37"/>
    </row>
    <row r="248" spans="1:76">
      <c r="A248" s="2" t="s">
        <v>420</v>
      </c>
      <c r="B248" s="3" t="s">
        <v>56</v>
      </c>
      <c r="C248" s="3" t="s">
        <v>421</v>
      </c>
      <c r="D248" s="74" t="s">
        <v>422</v>
      </c>
      <c r="E248" s="75"/>
      <c r="F248" s="3" t="s">
        <v>77</v>
      </c>
      <c r="G248" s="31">
        <v>10</v>
      </c>
      <c r="H248" s="31">
        <v>2999</v>
      </c>
      <c r="I248" s="32" t="s">
        <v>63</v>
      </c>
      <c r="J248" s="31">
        <f>G248*AO248</f>
        <v>29990</v>
      </c>
      <c r="K248" s="31">
        <f>G248*AP248</f>
        <v>0</v>
      </c>
      <c r="L248" s="31">
        <f>G248*H248</f>
        <v>29990</v>
      </c>
      <c r="M248" s="31">
        <f>L248*(1+BW248/100)</f>
        <v>36287.9</v>
      </c>
      <c r="N248" s="31">
        <v>0</v>
      </c>
      <c r="O248" s="31">
        <f>G248*N248</f>
        <v>0</v>
      </c>
      <c r="P248" s="33" t="s">
        <v>56</v>
      </c>
      <c r="Z248" s="31">
        <f>IF(AQ248="5",BJ248,0)</f>
        <v>0</v>
      </c>
      <c r="AB248" s="31">
        <f>IF(AQ248="1",BH248,0)</f>
        <v>29990</v>
      </c>
      <c r="AC248" s="31">
        <f>IF(AQ248="1",BI248,0)</f>
        <v>0</v>
      </c>
      <c r="AD248" s="31">
        <f>IF(AQ248="7",BH248,0)</f>
        <v>0</v>
      </c>
      <c r="AE248" s="31">
        <f>IF(AQ248="7",BI248,0)</f>
        <v>0</v>
      </c>
      <c r="AF248" s="31">
        <f>IF(AQ248="2",BH248,0)</f>
        <v>0</v>
      </c>
      <c r="AG248" s="31">
        <f>IF(AQ248="2",BI248,0)</f>
        <v>0</v>
      </c>
      <c r="AH248" s="31">
        <f>IF(AQ248="0",BJ248,0)</f>
        <v>0</v>
      </c>
      <c r="AI248" s="12" t="s">
        <v>56</v>
      </c>
      <c r="AJ248" s="31">
        <f>IF(AN248=0,L248,0)</f>
        <v>0</v>
      </c>
      <c r="AK248" s="31">
        <f>IF(AN248=12,L248,0)</f>
        <v>0</v>
      </c>
      <c r="AL248" s="31">
        <f>IF(AN248=21,L248,0)</f>
        <v>29990</v>
      </c>
      <c r="AN248" s="31">
        <v>21</v>
      </c>
      <c r="AO248" s="31">
        <f>H248*1</f>
        <v>2999</v>
      </c>
      <c r="AP248" s="31">
        <f>H248*(1-1)</f>
        <v>0</v>
      </c>
      <c r="AQ248" s="32" t="s">
        <v>59</v>
      </c>
      <c r="AV248" s="31">
        <f>AW248+AX248</f>
        <v>29990</v>
      </c>
      <c r="AW248" s="31">
        <f>G248*AO248</f>
        <v>29990</v>
      </c>
      <c r="AX248" s="31">
        <f>G248*AP248</f>
        <v>0</v>
      </c>
      <c r="AY248" s="32" t="s">
        <v>403</v>
      </c>
      <c r="AZ248" s="32" t="s">
        <v>404</v>
      </c>
      <c r="BA248" s="12" t="s">
        <v>65</v>
      </c>
      <c r="BC248" s="31">
        <f>AW248+AX248</f>
        <v>29990</v>
      </c>
      <c r="BD248" s="31">
        <f>H248/(100-BE248)*100</f>
        <v>2999</v>
      </c>
      <c r="BE248" s="31">
        <v>0</v>
      </c>
      <c r="BF248" s="31">
        <f>O248</f>
        <v>0</v>
      </c>
      <c r="BH248" s="31">
        <f>G248*AO248</f>
        <v>29990</v>
      </c>
      <c r="BI248" s="31">
        <f>G248*AP248</f>
        <v>0</v>
      </c>
      <c r="BJ248" s="31">
        <f>G248*H248</f>
        <v>29990</v>
      </c>
      <c r="BK248" s="31"/>
      <c r="BL248" s="31">
        <v>85</v>
      </c>
      <c r="BW248" s="31" t="str">
        <f>I248</f>
        <v>21</v>
      </c>
      <c r="BX248" s="4" t="s">
        <v>422</v>
      </c>
    </row>
    <row r="249" spans="1:76">
      <c r="A249" s="34"/>
      <c r="D249" s="35" t="s">
        <v>414</v>
      </c>
      <c r="E249" s="35" t="s">
        <v>56</v>
      </c>
      <c r="G249" s="36">
        <v>3</v>
      </c>
      <c r="P249" s="37"/>
    </row>
    <row r="250" spans="1:76">
      <c r="A250" s="34"/>
      <c r="D250" s="35" t="s">
        <v>415</v>
      </c>
      <c r="E250" s="35" t="s">
        <v>56</v>
      </c>
      <c r="G250" s="36">
        <v>4</v>
      </c>
      <c r="P250" s="37"/>
    </row>
    <row r="251" spans="1:76">
      <c r="A251" s="34"/>
      <c r="D251" s="35" t="s">
        <v>416</v>
      </c>
      <c r="E251" s="35" t="s">
        <v>56</v>
      </c>
      <c r="G251" s="36">
        <v>3</v>
      </c>
      <c r="P251" s="37"/>
    </row>
    <row r="252" spans="1:76">
      <c r="A252" s="2" t="s">
        <v>423</v>
      </c>
      <c r="B252" s="3" t="s">
        <v>56</v>
      </c>
      <c r="C252" s="3" t="s">
        <v>424</v>
      </c>
      <c r="D252" s="74" t="s">
        <v>425</v>
      </c>
      <c r="E252" s="75"/>
      <c r="F252" s="3" t="s">
        <v>77</v>
      </c>
      <c r="G252" s="31">
        <v>10</v>
      </c>
      <c r="H252" s="31">
        <v>3503</v>
      </c>
      <c r="I252" s="32" t="s">
        <v>63</v>
      </c>
      <c r="J252" s="31">
        <f>G252*AO252</f>
        <v>35030</v>
      </c>
      <c r="K252" s="31">
        <f>G252*AP252</f>
        <v>0</v>
      </c>
      <c r="L252" s="31">
        <f>G252*H252</f>
        <v>35030</v>
      </c>
      <c r="M252" s="31">
        <f>L252*(1+BW252/100)</f>
        <v>42386.299999999996</v>
      </c>
      <c r="N252" s="31">
        <v>2.4E-2</v>
      </c>
      <c r="O252" s="31">
        <f>G252*N252</f>
        <v>0.24</v>
      </c>
      <c r="P252" s="33" t="s">
        <v>56</v>
      </c>
      <c r="Z252" s="31">
        <f>IF(AQ252="5",BJ252,0)</f>
        <v>0</v>
      </c>
      <c r="AB252" s="31">
        <f>IF(AQ252="1",BH252,0)</f>
        <v>35030</v>
      </c>
      <c r="AC252" s="31">
        <f>IF(AQ252="1",BI252,0)</f>
        <v>0</v>
      </c>
      <c r="AD252" s="31">
        <f>IF(AQ252="7",BH252,0)</f>
        <v>0</v>
      </c>
      <c r="AE252" s="31">
        <f>IF(AQ252="7",BI252,0)</f>
        <v>0</v>
      </c>
      <c r="AF252" s="31">
        <f>IF(AQ252="2",BH252,0)</f>
        <v>0</v>
      </c>
      <c r="AG252" s="31">
        <f>IF(AQ252="2",BI252,0)</f>
        <v>0</v>
      </c>
      <c r="AH252" s="31">
        <f>IF(AQ252="0",BJ252,0)</f>
        <v>0</v>
      </c>
      <c r="AI252" s="12" t="s">
        <v>56</v>
      </c>
      <c r="AJ252" s="31">
        <f>IF(AN252=0,L252,0)</f>
        <v>0</v>
      </c>
      <c r="AK252" s="31">
        <f>IF(AN252=12,L252,0)</f>
        <v>0</v>
      </c>
      <c r="AL252" s="31">
        <f>IF(AN252=21,L252,0)</f>
        <v>35030</v>
      </c>
      <c r="AN252" s="31">
        <v>21</v>
      </c>
      <c r="AO252" s="31">
        <f>H252*1</f>
        <v>3503</v>
      </c>
      <c r="AP252" s="31">
        <f>H252*(1-1)</f>
        <v>0</v>
      </c>
      <c r="AQ252" s="32" t="s">
        <v>59</v>
      </c>
      <c r="AV252" s="31">
        <f>AW252+AX252</f>
        <v>35030</v>
      </c>
      <c r="AW252" s="31">
        <f>G252*AO252</f>
        <v>35030</v>
      </c>
      <c r="AX252" s="31">
        <f>G252*AP252</f>
        <v>0</v>
      </c>
      <c r="AY252" s="32" t="s">
        <v>403</v>
      </c>
      <c r="AZ252" s="32" t="s">
        <v>404</v>
      </c>
      <c r="BA252" s="12" t="s">
        <v>65</v>
      </c>
      <c r="BC252" s="31">
        <f>AW252+AX252</f>
        <v>35030</v>
      </c>
      <c r="BD252" s="31">
        <f>H252/(100-BE252)*100</f>
        <v>3503</v>
      </c>
      <c r="BE252" s="31">
        <v>0</v>
      </c>
      <c r="BF252" s="31">
        <f>O252</f>
        <v>0.24</v>
      </c>
      <c r="BH252" s="31">
        <f>G252*AO252</f>
        <v>35030</v>
      </c>
      <c r="BI252" s="31">
        <f>G252*AP252</f>
        <v>0</v>
      </c>
      <c r="BJ252" s="31">
        <f>G252*H252</f>
        <v>35030</v>
      </c>
      <c r="BK252" s="31"/>
      <c r="BL252" s="31">
        <v>85</v>
      </c>
      <c r="BW252" s="31" t="str">
        <f>I252</f>
        <v>21</v>
      </c>
      <c r="BX252" s="4" t="s">
        <v>425</v>
      </c>
    </row>
    <row r="253" spans="1:76">
      <c r="A253" s="34"/>
      <c r="D253" s="35" t="s">
        <v>414</v>
      </c>
      <c r="E253" s="35" t="s">
        <v>56</v>
      </c>
      <c r="G253" s="36">
        <v>3</v>
      </c>
      <c r="P253" s="37"/>
    </row>
    <row r="254" spans="1:76">
      <c r="A254" s="34"/>
      <c r="D254" s="35" t="s">
        <v>415</v>
      </c>
      <c r="E254" s="35" t="s">
        <v>56</v>
      </c>
      <c r="G254" s="36">
        <v>4</v>
      </c>
      <c r="P254" s="37"/>
    </row>
    <row r="255" spans="1:76">
      <c r="A255" s="34"/>
      <c r="D255" s="35" t="s">
        <v>416</v>
      </c>
      <c r="E255" s="35" t="s">
        <v>56</v>
      </c>
      <c r="G255" s="36">
        <v>3</v>
      </c>
      <c r="P255" s="37"/>
    </row>
    <row r="256" spans="1:76">
      <c r="A256" s="2" t="s">
        <v>426</v>
      </c>
      <c r="B256" s="3" t="s">
        <v>56</v>
      </c>
      <c r="C256" s="3" t="s">
        <v>427</v>
      </c>
      <c r="D256" s="74" t="s">
        <v>428</v>
      </c>
      <c r="E256" s="75"/>
      <c r="F256" s="3" t="s">
        <v>77</v>
      </c>
      <c r="G256" s="31">
        <v>10</v>
      </c>
      <c r="H256" s="31">
        <v>27699</v>
      </c>
      <c r="I256" s="32" t="s">
        <v>63</v>
      </c>
      <c r="J256" s="31">
        <f>G256*AO256</f>
        <v>276990</v>
      </c>
      <c r="K256" s="31">
        <f>G256*AP256</f>
        <v>0</v>
      </c>
      <c r="L256" s="31">
        <f>G256*H256</f>
        <v>276990</v>
      </c>
      <c r="M256" s="31">
        <f>L256*(1+BW256/100)</f>
        <v>335157.89999999997</v>
      </c>
      <c r="N256" s="31">
        <v>0</v>
      </c>
      <c r="O256" s="31">
        <f>G256*N256</f>
        <v>0</v>
      </c>
      <c r="P256" s="33" t="s">
        <v>56</v>
      </c>
      <c r="Z256" s="31">
        <f>IF(AQ256="5",BJ256,0)</f>
        <v>0</v>
      </c>
      <c r="AB256" s="31">
        <f>IF(AQ256="1",BH256,0)</f>
        <v>276990</v>
      </c>
      <c r="AC256" s="31">
        <f>IF(AQ256="1",BI256,0)</f>
        <v>0</v>
      </c>
      <c r="AD256" s="31">
        <f>IF(AQ256="7",BH256,0)</f>
        <v>0</v>
      </c>
      <c r="AE256" s="31">
        <f>IF(AQ256="7",BI256,0)</f>
        <v>0</v>
      </c>
      <c r="AF256" s="31">
        <f>IF(AQ256="2",BH256,0)</f>
        <v>0</v>
      </c>
      <c r="AG256" s="31">
        <f>IF(AQ256="2",BI256,0)</f>
        <v>0</v>
      </c>
      <c r="AH256" s="31">
        <f>IF(AQ256="0",BJ256,0)</f>
        <v>0</v>
      </c>
      <c r="AI256" s="12" t="s">
        <v>56</v>
      </c>
      <c r="AJ256" s="31">
        <f>IF(AN256=0,L256,0)</f>
        <v>0</v>
      </c>
      <c r="AK256" s="31">
        <f>IF(AN256=12,L256,0)</f>
        <v>0</v>
      </c>
      <c r="AL256" s="31">
        <f>IF(AN256=21,L256,0)</f>
        <v>276990</v>
      </c>
      <c r="AN256" s="31">
        <v>21</v>
      </c>
      <c r="AO256" s="31">
        <f>H256*1</f>
        <v>27699</v>
      </c>
      <c r="AP256" s="31">
        <f>H256*(1-1)</f>
        <v>0</v>
      </c>
      <c r="AQ256" s="32" t="s">
        <v>59</v>
      </c>
      <c r="AV256" s="31">
        <f>AW256+AX256</f>
        <v>276990</v>
      </c>
      <c r="AW256" s="31">
        <f>G256*AO256</f>
        <v>276990</v>
      </c>
      <c r="AX256" s="31">
        <f>G256*AP256</f>
        <v>0</v>
      </c>
      <c r="AY256" s="32" t="s">
        <v>403</v>
      </c>
      <c r="AZ256" s="32" t="s">
        <v>404</v>
      </c>
      <c r="BA256" s="12" t="s">
        <v>65</v>
      </c>
      <c r="BC256" s="31">
        <f>AW256+AX256</f>
        <v>276990</v>
      </c>
      <c r="BD256" s="31">
        <f>H256/(100-BE256)*100</f>
        <v>27699</v>
      </c>
      <c r="BE256" s="31">
        <v>0</v>
      </c>
      <c r="BF256" s="31">
        <f>O256</f>
        <v>0</v>
      </c>
      <c r="BH256" s="31">
        <f>G256*AO256</f>
        <v>276990</v>
      </c>
      <c r="BI256" s="31">
        <f>G256*AP256</f>
        <v>0</v>
      </c>
      <c r="BJ256" s="31">
        <f>G256*H256</f>
        <v>276990</v>
      </c>
      <c r="BK256" s="31"/>
      <c r="BL256" s="31">
        <v>85</v>
      </c>
      <c r="BW256" s="31" t="str">
        <f>I256</f>
        <v>21</v>
      </c>
      <c r="BX256" s="4" t="s">
        <v>428</v>
      </c>
    </row>
    <row r="257" spans="1:76">
      <c r="A257" s="34"/>
      <c r="D257" s="35" t="s">
        <v>414</v>
      </c>
      <c r="E257" s="35" t="s">
        <v>56</v>
      </c>
      <c r="G257" s="36">
        <v>3</v>
      </c>
      <c r="P257" s="37"/>
    </row>
    <row r="258" spans="1:76">
      <c r="A258" s="34"/>
      <c r="D258" s="35" t="s">
        <v>415</v>
      </c>
      <c r="E258" s="35" t="s">
        <v>56</v>
      </c>
      <c r="G258" s="36">
        <v>4</v>
      </c>
      <c r="P258" s="37"/>
    </row>
    <row r="259" spans="1:76">
      <c r="A259" s="34"/>
      <c r="D259" s="35" t="s">
        <v>416</v>
      </c>
      <c r="E259" s="35" t="s">
        <v>56</v>
      </c>
      <c r="G259" s="36">
        <v>3</v>
      </c>
      <c r="P259" s="37"/>
    </row>
    <row r="260" spans="1:76">
      <c r="A260" s="2" t="s">
        <v>429</v>
      </c>
      <c r="B260" s="3" t="s">
        <v>56</v>
      </c>
      <c r="C260" s="3" t="s">
        <v>430</v>
      </c>
      <c r="D260" s="74" t="s">
        <v>431</v>
      </c>
      <c r="E260" s="75"/>
      <c r="F260" s="3" t="s">
        <v>77</v>
      </c>
      <c r="G260" s="31">
        <v>2</v>
      </c>
      <c r="H260" s="31">
        <v>5175</v>
      </c>
      <c r="I260" s="32" t="s">
        <v>63</v>
      </c>
      <c r="J260" s="31">
        <f>G260*AO260</f>
        <v>10350</v>
      </c>
      <c r="K260" s="31">
        <f>G260*AP260</f>
        <v>0</v>
      </c>
      <c r="L260" s="31">
        <f>G260*H260</f>
        <v>10350</v>
      </c>
      <c r="M260" s="31">
        <f>L260*(1+BW260/100)</f>
        <v>12523.5</v>
      </c>
      <c r="N260" s="31">
        <v>0</v>
      </c>
      <c r="O260" s="31">
        <f>G260*N260</f>
        <v>0</v>
      </c>
      <c r="P260" s="33" t="s">
        <v>56</v>
      </c>
      <c r="Z260" s="31">
        <f>IF(AQ260="5",BJ260,0)</f>
        <v>0</v>
      </c>
      <c r="AB260" s="31">
        <f>IF(AQ260="1",BH260,0)</f>
        <v>10350</v>
      </c>
      <c r="AC260" s="31">
        <f>IF(AQ260="1",BI260,0)</f>
        <v>0</v>
      </c>
      <c r="AD260" s="31">
        <f>IF(AQ260="7",BH260,0)</f>
        <v>0</v>
      </c>
      <c r="AE260" s="31">
        <f>IF(AQ260="7",BI260,0)</f>
        <v>0</v>
      </c>
      <c r="AF260" s="31">
        <f>IF(AQ260="2",BH260,0)</f>
        <v>0</v>
      </c>
      <c r="AG260" s="31">
        <f>IF(AQ260="2",BI260,0)</f>
        <v>0</v>
      </c>
      <c r="AH260" s="31">
        <f>IF(AQ260="0",BJ260,0)</f>
        <v>0</v>
      </c>
      <c r="AI260" s="12" t="s">
        <v>56</v>
      </c>
      <c r="AJ260" s="31">
        <f>IF(AN260=0,L260,0)</f>
        <v>0</v>
      </c>
      <c r="AK260" s="31">
        <f>IF(AN260=12,L260,0)</f>
        <v>0</v>
      </c>
      <c r="AL260" s="31">
        <f>IF(AN260=21,L260,0)</f>
        <v>10350</v>
      </c>
      <c r="AN260" s="31">
        <v>21</v>
      </c>
      <c r="AO260" s="31">
        <f>H260*1</f>
        <v>5175</v>
      </c>
      <c r="AP260" s="31">
        <f>H260*(1-1)</f>
        <v>0</v>
      </c>
      <c r="AQ260" s="32" t="s">
        <v>59</v>
      </c>
      <c r="AV260" s="31">
        <f>AW260+AX260</f>
        <v>10350</v>
      </c>
      <c r="AW260" s="31">
        <f>G260*AO260</f>
        <v>10350</v>
      </c>
      <c r="AX260" s="31">
        <f>G260*AP260</f>
        <v>0</v>
      </c>
      <c r="AY260" s="32" t="s">
        <v>403</v>
      </c>
      <c r="AZ260" s="32" t="s">
        <v>404</v>
      </c>
      <c r="BA260" s="12" t="s">
        <v>65</v>
      </c>
      <c r="BC260" s="31">
        <f>AW260+AX260</f>
        <v>10350</v>
      </c>
      <c r="BD260" s="31">
        <f>H260/(100-BE260)*100</f>
        <v>5175</v>
      </c>
      <c r="BE260" s="31">
        <v>0</v>
      </c>
      <c r="BF260" s="31">
        <f>O260</f>
        <v>0</v>
      </c>
      <c r="BH260" s="31">
        <f>G260*AO260</f>
        <v>10350</v>
      </c>
      <c r="BI260" s="31">
        <f>G260*AP260</f>
        <v>0</v>
      </c>
      <c r="BJ260" s="31">
        <f>G260*H260</f>
        <v>10350</v>
      </c>
      <c r="BK260" s="31"/>
      <c r="BL260" s="31">
        <v>85</v>
      </c>
      <c r="BW260" s="31" t="str">
        <f>I260</f>
        <v>21</v>
      </c>
      <c r="BX260" s="4" t="s">
        <v>431</v>
      </c>
    </row>
    <row r="261" spans="1:76">
      <c r="A261" s="34"/>
      <c r="D261" s="35" t="s">
        <v>432</v>
      </c>
      <c r="E261" s="35" t="s">
        <v>56</v>
      </c>
      <c r="G261" s="36">
        <v>2</v>
      </c>
      <c r="P261" s="37"/>
    </row>
    <row r="262" spans="1:76">
      <c r="A262" s="2" t="s">
        <v>433</v>
      </c>
      <c r="B262" s="3" t="s">
        <v>56</v>
      </c>
      <c r="C262" s="3" t="s">
        <v>434</v>
      </c>
      <c r="D262" s="74" t="s">
        <v>435</v>
      </c>
      <c r="E262" s="75"/>
      <c r="F262" s="3" t="s">
        <v>77</v>
      </c>
      <c r="G262" s="31">
        <v>8</v>
      </c>
      <c r="H262" s="31">
        <v>672.01</v>
      </c>
      <c r="I262" s="32" t="s">
        <v>63</v>
      </c>
      <c r="J262" s="31">
        <f>G262*AO262</f>
        <v>0.15999751688</v>
      </c>
      <c r="K262" s="31">
        <f>G262*AP262</f>
        <v>5375.9200024831198</v>
      </c>
      <c r="L262" s="31">
        <f>G262*H262</f>
        <v>5376.08</v>
      </c>
      <c r="M262" s="31">
        <f>L262*(1+BW262/100)</f>
        <v>6505.0567999999994</v>
      </c>
      <c r="N262" s="31">
        <v>0</v>
      </c>
      <c r="O262" s="31">
        <f>G262*N262</f>
        <v>0</v>
      </c>
      <c r="P262" s="33" t="s">
        <v>85</v>
      </c>
      <c r="Z262" s="31">
        <f>IF(AQ262="5",BJ262,0)</f>
        <v>0</v>
      </c>
      <c r="AB262" s="31">
        <f>IF(AQ262="1",BH262,0)</f>
        <v>0.15999751688</v>
      </c>
      <c r="AC262" s="31">
        <f>IF(AQ262="1",BI262,0)</f>
        <v>5375.9200024831198</v>
      </c>
      <c r="AD262" s="31">
        <f>IF(AQ262="7",BH262,0)</f>
        <v>0</v>
      </c>
      <c r="AE262" s="31">
        <f>IF(AQ262="7",BI262,0)</f>
        <v>0</v>
      </c>
      <c r="AF262" s="31">
        <f>IF(AQ262="2",BH262,0)</f>
        <v>0</v>
      </c>
      <c r="AG262" s="31">
        <f>IF(AQ262="2",BI262,0)</f>
        <v>0</v>
      </c>
      <c r="AH262" s="31">
        <f>IF(AQ262="0",BJ262,0)</f>
        <v>0</v>
      </c>
      <c r="AI262" s="12" t="s">
        <v>56</v>
      </c>
      <c r="AJ262" s="31">
        <f>IF(AN262=0,L262,0)</f>
        <v>0</v>
      </c>
      <c r="AK262" s="31">
        <f>IF(AN262=12,L262,0)</f>
        <v>0</v>
      </c>
      <c r="AL262" s="31">
        <f>IF(AN262=21,L262,0)</f>
        <v>5376.08</v>
      </c>
      <c r="AN262" s="31">
        <v>21</v>
      </c>
      <c r="AO262" s="31">
        <f>H262*0.000029761</f>
        <v>1.9999689609999999E-2</v>
      </c>
      <c r="AP262" s="31">
        <f>H262*(1-0.000029761)</f>
        <v>671.99000031038997</v>
      </c>
      <c r="AQ262" s="32" t="s">
        <v>59</v>
      </c>
      <c r="AV262" s="31">
        <f>AW262+AX262</f>
        <v>5376.08</v>
      </c>
      <c r="AW262" s="31">
        <f>G262*AO262</f>
        <v>0.15999751688</v>
      </c>
      <c r="AX262" s="31">
        <f>G262*AP262</f>
        <v>5375.9200024831198</v>
      </c>
      <c r="AY262" s="32" t="s">
        <v>403</v>
      </c>
      <c r="AZ262" s="32" t="s">
        <v>404</v>
      </c>
      <c r="BA262" s="12" t="s">
        <v>65</v>
      </c>
      <c r="BC262" s="31">
        <f>AW262+AX262</f>
        <v>5376.08</v>
      </c>
      <c r="BD262" s="31">
        <f>H262/(100-BE262)*100</f>
        <v>672.01</v>
      </c>
      <c r="BE262" s="31">
        <v>0</v>
      </c>
      <c r="BF262" s="31">
        <f>O262</f>
        <v>0</v>
      </c>
      <c r="BH262" s="31">
        <f>G262*AO262</f>
        <v>0.15999751688</v>
      </c>
      <c r="BI262" s="31">
        <f>G262*AP262</f>
        <v>5375.9200024831198</v>
      </c>
      <c r="BJ262" s="31">
        <f>G262*H262</f>
        <v>5376.08</v>
      </c>
      <c r="BK262" s="31"/>
      <c r="BL262" s="31">
        <v>85</v>
      </c>
      <c r="BW262" s="31" t="str">
        <f>I262</f>
        <v>21</v>
      </c>
      <c r="BX262" s="4" t="s">
        <v>435</v>
      </c>
    </row>
    <row r="263" spans="1:76">
      <c r="A263" s="34"/>
      <c r="D263" s="35" t="s">
        <v>436</v>
      </c>
      <c r="E263" s="35" t="s">
        <v>56</v>
      </c>
      <c r="G263" s="36">
        <v>3</v>
      </c>
      <c r="P263" s="37"/>
    </row>
    <row r="264" spans="1:76">
      <c r="A264" s="34"/>
      <c r="D264" s="35" t="s">
        <v>437</v>
      </c>
      <c r="E264" s="35" t="s">
        <v>56</v>
      </c>
      <c r="G264" s="36">
        <v>2</v>
      </c>
      <c r="P264" s="37"/>
    </row>
    <row r="265" spans="1:76">
      <c r="A265" s="34"/>
      <c r="D265" s="35" t="s">
        <v>438</v>
      </c>
      <c r="E265" s="35" t="s">
        <v>56</v>
      </c>
      <c r="G265" s="36">
        <v>1</v>
      </c>
      <c r="P265" s="37"/>
    </row>
    <row r="266" spans="1:76">
      <c r="A266" s="34"/>
      <c r="D266" s="35" t="s">
        <v>439</v>
      </c>
      <c r="E266" s="35" t="s">
        <v>56</v>
      </c>
      <c r="G266" s="36">
        <v>1</v>
      </c>
      <c r="P266" s="37"/>
    </row>
    <row r="267" spans="1:76">
      <c r="A267" s="34"/>
      <c r="D267" s="35" t="s">
        <v>440</v>
      </c>
      <c r="E267" s="35" t="s">
        <v>56</v>
      </c>
      <c r="G267" s="36">
        <v>1</v>
      </c>
      <c r="P267" s="37"/>
    </row>
    <row r="268" spans="1:76">
      <c r="A268" s="2" t="s">
        <v>441</v>
      </c>
      <c r="B268" s="3" t="s">
        <v>56</v>
      </c>
      <c r="C268" s="3" t="s">
        <v>442</v>
      </c>
      <c r="D268" s="74" t="s">
        <v>443</v>
      </c>
      <c r="E268" s="75"/>
      <c r="F268" s="3" t="s">
        <v>77</v>
      </c>
      <c r="G268" s="31">
        <v>3</v>
      </c>
      <c r="H268" s="31">
        <v>436</v>
      </c>
      <c r="I268" s="32" t="s">
        <v>63</v>
      </c>
      <c r="J268" s="31">
        <f>G268*AO268</f>
        <v>1308</v>
      </c>
      <c r="K268" s="31">
        <f>G268*AP268</f>
        <v>0</v>
      </c>
      <c r="L268" s="31">
        <f>G268*H268</f>
        <v>1308</v>
      </c>
      <c r="M268" s="31">
        <f>L268*(1+BW268/100)</f>
        <v>1582.68</v>
      </c>
      <c r="N268" s="31">
        <v>0</v>
      </c>
      <c r="O268" s="31">
        <f>G268*N268</f>
        <v>0</v>
      </c>
      <c r="P268" s="33" t="s">
        <v>56</v>
      </c>
      <c r="Z268" s="31">
        <f>IF(AQ268="5",BJ268,0)</f>
        <v>0</v>
      </c>
      <c r="AB268" s="31">
        <f>IF(AQ268="1",BH268,0)</f>
        <v>1308</v>
      </c>
      <c r="AC268" s="31">
        <f>IF(AQ268="1",BI268,0)</f>
        <v>0</v>
      </c>
      <c r="AD268" s="31">
        <f>IF(AQ268="7",BH268,0)</f>
        <v>0</v>
      </c>
      <c r="AE268" s="31">
        <f>IF(AQ268="7",BI268,0)</f>
        <v>0</v>
      </c>
      <c r="AF268" s="31">
        <f>IF(AQ268="2",BH268,0)</f>
        <v>0</v>
      </c>
      <c r="AG268" s="31">
        <f>IF(AQ268="2",BI268,0)</f>
        <v>0</v>
      </c>
      <c r="AH268" s="31">
        <f>IF(AQ268="0",BJ268,0)</f>
        <v>0</v>
      </c>
      <c r="AI268" s="12" t="s">
        <v>56</v>
      </c>
      <c r="AJ268" s="31">
        <f>IF(AN268=0,L268,0)</f>
        <v>0</v>
      </c>
      <c r="AK268" s="31">
        <f>IF(AN268=12,L268,0)</f>
        <v>0</v>
      </c>
      <c r="AL268" s="31">
        <f>IF(AN268=21,L268,0)</f>
        <v>1308</v>
      </c>
      <c r="AN268" s="31">
        <v>21</v>
      </c>
      <c r="AO268" s="31">
        <f>H268*1</f>
        <v>436</v>
      </c>
      <c r="AP268" s="31">
        <f>H268*(1-1)</f>
        <v>0</v>
      </c>
      <c r="AQ268" s="32" t="s">
        <v>59</v>
      </c>
      <c r="AV268" s="31">
        <f>AW268+AX268</f>
        <v>1308</v>
      </c>
      <c r="AW268" s="31">
        <f>G268*AO268</f>
        <v>1308</v>
      </c>
      <c r="AX268" s="31">
        <f>G268*AP268</f>
        <v>0</v>
      </c>
      <c r="AY268" s="32" t="s">
        <v>403</v>
      </c>
      <c r="AZ268" s="32" t="s">
        <v>404</v>
      </c>
      <c r="BA268" s="12" t="s">
        <v>65</v>
      </c>
      <c r="BC268" s="31">
        <f>AW268+AX268</f>
        <v>1308</v>
      </c>
      <c r="BD268" s="31">
        <f>H268/(100-BE268)*100</f>
        <v>436.00000000000006</v>
      </c>
      <c r="BE268" s="31">
        <v>0</v>
      </c>
      <c r="BF268" s="31">
        <f>O268</f>
        <v>0</v>
      </c>
      <c r="BH268" s="31">
        <f>G268*AO268</f>
        <v>1308</v>
      </c>
      <c r="BI268" s="31">
        <f>G268*AP268</f>
        <v>0</v>
      </c>
      <c r="BJ268" s="31">
        <f>G268*H268</f>
        <v>1308</v>
      </c>
      <c r="BK268" s="31"/>
      <c r="BL268" s="31">
        <v>85</v>
      </c>
      <c r="BW268" s="31" t="str">
        <f>I268</f>
        <v>21</v>
      </c>
      <c r="BX268" s="4" t="s">
        <v>443</v>
      </c>
    </row>
    <row r="269" spans="1:76">
      <c r="A269" s="34"/>
      <c r="D269" s="35" t="s">
        <v>416</v>
      </c>
      <c r="E269" s="35" t="s">
        <v>56</v>
      </c>
      <c r="G269" s="36">
        <v>3</v>
      </c>
      <c r="P269" s="37"/>
    </row>
    <row r="270" spans="1:76">
      <c r="A270" s="2" t="s">
        <v>444</v>
      </c>
      <c r="B270" s="3" t="s">
        <v>56</v>
      </c>
      <c r="C270" s="3" t="s">
        <v>445</v>
      </c>
      <c r="D270" s="74" t="s">
        <v>446</v>
      </c>
      <c r="E270" s="75"/>
      <c r="F270" s="3" t="s">
        <v>77</v>
      </c>
      <c r="G270" s="31">
        <v>2</v>
      </c>
      <c r="H270" s="31">
        <v>2837</v>
      </c>
      <c r="I270" s="32" t="s">
        <v>63</v>
      </c>
      <c r="J270" s="31">
        <f>G270*AO270</f>
        <v>5674</v>
      </c>
      <c r="K270" s="31">
        <f>G270*AP270</f>
        <v>0</v>
      </c>
      <c r="L270" s="31">
        <f>G270*H270</f>
        <v>5674</v>
      </c>
      <c r="M270" s="31">
        <f>L270*(1+BW270/100)</f>
        <v>6865.54</v>
      </c>
      <c r="N270" s="31">
        <v>0</v>
      </c>
      <c r="O270" s="31">
        <f>G270*N270</f>
        <v>0</v>
      </c>
      <c r="P270" s="33" t="s">
        <v>56</v>
      </c>
      <c r="Z270" s="31">
        <f>IF(AQ270="5",BJ270,0)</f>
        <v>0</v>
      </c>
      <c r="AB270" s="31">
        <f>IF(AQ270="1",BH270,0)</f>
        <v>5674</v>
      </c>
      <c r="AC270" s="31">
        <f>IF(AQ270="1",BI270,0)</f>
        <v>0</v>
      </c>
      <c r="AD270" s="31">
        <f>IF(AQ270="7",BH270,0)</f>
        <v>0</v>
      </c>
      <c r="AE270" s="31">
        <f>IF(AQ270="7",BI270,0)</f>
        <v>0</v>
      </c>
      <c r="AF270" s="31">
        <f>IF(AQ270="2",BH270,0)</f>
        <v>0</v>
      </c>
      <c r="AG270" s="31">
        <f>IF(AQ270="2",BI270,0)</f>
        <v>0</v>
      </c>
      <c r="AH270" s="31">
        <f>IF(AQ270="0",BJ270,0)</f>
        <v>0</v>
      </c>
      <c r="AI270" s="12" t="s">
        <v>56</v>
      </c>
      <c r="AJ270" s="31">
        <f>IF(AN270=0,L270,0)</f>
        <v>0</v>
      </c>
      <c r="AK270" s="31">
        <f>IF(AN270=12,L270,0)</f>
        <v>0</v>
      </c>
      <c r="AL270" s="31">
        <f>IF(AN270=21,L270,0)</f>
        <v>5674</v>
      </c>
      <c r="AN270" s="31">
        <v>21</v>
      </c>
      <c r="AO270" s="31">
        <f>H270*1</f>
        <v>2837</v>
      </c>
      <c r="AP270" s="31">
        <f>H270*(1-1)</f>
        <v>0</v>
      </c>
      <c r="AQ270" s="32" t="s">
        <v>59</v>
      </c>
      <c r="AV270" s="31">
        <f>AW270+AX270</f>
        <v>5674</v>
      </c>
      <c r="AW270" s="31">
        <f>G270*AO270</f>
        <v>5674</v>
      </c>
      <c r="AX270" s="31">
        <f>G270*AP270</f>
        <v>0</v>
      </c>
      <c r="AY270" s="32" t="s">
        <v>403</v>
      </c>
      <c r="AZ270" s="32" t="s">
        <v>404</v>
      </c>
      <c r="BA270" s="12" t="s">
        <v>65</v>
      </c>
      <c r="BC270" s="31">
        <f>AW270+AX270</f>
        <v>5674</v>
      </c>
      <c r="BD270" s="31">
        <f>H270/(100-BE270)*100</f>
        <v>2837</v>
      </c>
      <c r="BE270" s="31">
        <v>0</v>
      </c>
      <c r="BF270" s="31">
        <f>O270</f>
        <v>0</v>
      </c>
      <c r="BH270" s="31">
        <f>G270*AO270</f>
        <v>5674</v>
      </c>
      <c r="BI270" s="31">
        <f>G270*AP270</f>
        <v>0</v>
      </c>
      <c r="BJ270" s="31">
        <f>G270*H270</f>
        <v>5674</v>
      </c>
      <c r="BK270" s="31"/>
      <c r="BL270" s="31">
        <v>85</v>
      </c>
      <c r="BW270" s="31" t="str">
        <f>I270</f>
        <v>21</v>
      </c>
      <c r="BX270" s="4" t="s">
        <v>446</v>
      </c>
    </row>
    <row r="271" spans="1:76">
      <c r="A271" s="34"/>
      <c r="D271" s="35" t="s">
        <v>432</v>
      </c>
      <c r="E271" s="35" t="s">
        <v>56</v>
      </c>
      <c r="G271" s="36">
        <v>2</v>
      </c>
      <c r="P271" s="37"/>
    </row>
    <row r="272" spans="1:76">
      <c r="A272" s="2" t="s">
        <v>447</v>
      </c>
      <c r="B272" s="3" t="s">
        <v>56</v>
      </c>
      <c r="C272" s="3" t="s">
        <v>448</v>
      </c>
      <c r="D272" s="74" t="s">
        <v>449</v>
      </c>
      <c r="E272" s="75"/>
      <c r="F272" s="3" t="s">
        <v>77</v>
      </c>
      <c r="G272" s="31">
        <v>1</v>
      </c>
      <c r="H272" s="31">
        <v>3603</v>
      </c>
      <c r="I272" s="32" t="s">
        <v>63</v>
      </c>
      <c r="J272" s="31">
        <f>G272*AO272</f>
        <v>3603</v>
      </c>
      <c r="K272" s="31">
        <f>G272*AP272</f>
        <v>0</v>
      </c>
      <c r="L272" s="31">
        <f>G272*H272</f>
        <v>3603</v>
      </c>
      <c r="M272" s="31">
        <f>L272*(1+BW272/100)</f>
        <v>4359.63</v>
      </c>
      <c r="N272" s="31">
        <v>0</v>
      </c>
      <c r="O272" s="31">
        <f>G272*N272</f>
        <v>0</v>
      </c>
      <c r="P272" s="33" t="s">
        <v>56</v>
      </c>
      <c r="Z272" s="31">
        <f>IF(AQ272="5",BJ272,0)</f>
        <v>0</v>
      </c>
      <c r="AB272" s="31">
        <f>IF(AQ272="1",BH272,0)</f>
        <v>3603</v>
      </c>
      <c r="AC272" s="31">
        <f>IF(AQ272="1",BI272,0)</f>
        <v>0</v>
      </c>
      <c r="AD272" s="31">
        <f>IF(AQ272="7",BH272,0)</f>
        <v>0</v>
      </c>
      <c r="AE272" s="31">
        <f>IF(AQ272="7",BI272,0)</f>
        <v>0</v>
      </c>
      <c r="AF272" s="31">
        <f>IF(AQ272="2",BH272,0)</f>
        <v>0</v>
      </c>
      <c r="AG272" s="31">
        <f>IF(AQ272="2",BI272,0)</f>
        <v>0</v>
      </c>
      <c r="AH272" s="31">
        <f>IF(AQ272="0",BJ272,0)</f>
        <v>0</v>
      </c>
      <c r="AI272" s="12" t="s">
        <v>56</v>
      </c>
      <c r="AJ272" s="31">
        <f>IF(AN272=0,L272,0)</f>
        <v>0</v>
      </c>
      <c r="AK272" s="31">
        <f>IF(AN272=12,L272,0)</f>
        <v>0</v>
      </c>
      <c r="AL272" s="31">
        <f>IF(AN272=21,L272,0)</f>
        <v>3603</v>
      </c>
      <c r="AN272" s="31">
        <v>21</v>
      </c>
      <c r="AO272" s="31">
        <f>H272*1</f>
        <v>3603</v>
      </c>
      <c r="AP272" s="31">
        <f>H272*(1-1)</f>
        <v>0</v>
      </c>
      <c r="AQ272" s="32" t="s">
        <v>59</v>
      </c>
      <c r="AV272" s="31">
        <f>AW272+AX272</f>
        <v>3603</v>
      </c>
      <c r="AW272" s="31">
        <f>G272*AO272</f>
        <v>3603</v>
      </c>
      <c r="AX272" s="31">
        <f>G272*AP272</f>
        <v>0</v>
      </c>
      <c r="AY272" s="32" t="s">
        <v>403</v>
      </c>
      <c r="AZ272" s="32" t="s">
        <v>404</v>
      </c>
      <c r="BA272" s="12" t="s">
        <v>65</v>
      </c>
      <c r="BC272" s="31">
        <f>AW272+AX272</f>
        <v>3603</v>
      </c>
      <c r="BD272" s="31">
        <f>H272/(100-BE272)*100</f>
        <v>3603</v>
      </c>
      <c r="BE272" s="31">
        <v>0</v>
      </c>
      <c r="BF272" s="31">
        <f>O272</f>
        <v>0</v>
      </c>
      <c r="BH272" s="31">
        <f>G272*AO272</f>
        <v>3603</v>
      </c>
      <c r="BI272" s="31">
        <f>G272*AP272</f>
        <v>0</v>
      </c>
      <c r="BJ272" s="31">
        <f>G272*H272</f>
        <v>3603</v>
      </c>
      <c r="BK272" s="31"/>
      <c r="BL272" s="31">
        <v>85</v>
      </c>
      <c r="BW272" s="31" t="str">
        <f>I272</f>
        <v>21</v>
      </c>
      <c r="BX272" s="4" t="s">
        <v>449</v>
      </c>
    </row>
    <row r="273" spans="1:76">
      <c r="A273" s="34"/>
      <c r="D273" s="35" t="s">
        <v>450</v>
      </c>
      <c r="E273" s="35" t="s">
        <v>56</v>
      </c>
      <c r="G273" s="36">
        <v>1</v>
      </c>
      <c r="P273" s="37"/>
    </row>
    <row r="274" spans="1:76">
      <c r="A274" s="2" t="s">
        <v>451</v>
      </c>
      <c r="B274" s="3" t="s">
        <v>56</v>
      </c>
      <c r="C274" s="3" t="s">
        <v>452</v>
      </c>
      <c r="D274" s="74" t="s">
        <v>453</v>
      </c>
      <c r="E274" s="75"/>
      <c r="F274" s="3" t="s">
        <v>77</v>
      </c>
      <c r="G274" s="31">
        <v>1</v>
      </c>
      <c r="H274" s="31">
        <v>4807</v>
      </c>
      <c r="I274" s="32" t="s">
        <v>63</v>
      </c>
      <c r="J274" s="31">
        <f>G274*AO274</f>
        <v>4807</v>
      </c>
      <c r="K274" s="31">
        <f>G274*AP274</f>
        <v>0</v>
      </c>
      <c r="L274" s="31">
        <f>G274*H274</f>
        <v>4807</v>
      </c>
      <c r="M274" s="31">
        <f>L274*(1+BW274/100)</f>
        <v>5816.47</v>
      </c>
      <c r="N274" s="31">
        <v>0</v>
      </c>
      <c r="O274" s="31">
        <f>G274*N274</f>
        <v>0</v>
      </c>
      <c r="P274" s="33" t="s">
        <v>56</v>
      </c>
      <c r="Z274" s="31">
        <f>IF(AQ274="5",BJ274,0)</f>
        <v>0</v>
      </c>
      <c r="AB274" s="31">
        <f>IF(AQ274="1",BH274,0)</f>
        <v>4807</v>
      </c>
      <c r="AC274" s="31">
        <f>IF(AQ274="1",BI274,0)</f>
        <v>0</v>
      </c>
      <c r="AD274" s="31">
        <f>IF(AQ274="7",BH274,0)</f>
        <v>0</v>
      </c>
      <c r="AE274" s="31">
        <f>IF(AQ274="7",BI274,0)</f>
        <v>0</v>
      </c>
      <c r="AF274" s="31">
        <f>IF(AQ274="2",BH274,0)</f>
        <v>0</v>
      </c>
      <c r="AG274" s="31">
        <f>IF(AQ274="2",BI274,0)</f>
        <v>0</v>
      </c>
      <c r="AH274" s="31">
        <f>IF(AQ274="0",BJ274,0)</f>
        <v>0</v>
      </c>
      <c r="AI274" s="12" t="s">
        <v>56</v>
      </c>
      <c r="AJ274" s="31">
        <f>IF(AN274=0,L274,0)</f>
        <v>0</v>
      </c>
      <c r="AK274" s="31">
        <f>IF(AN274=12,L274,0)</f>
        <v>0</v>
      </c>
      <c r="AL274" s="31">
        <f>IF(AN274=21,L274,0)</f>
        <v>4807</v>
      </c>
      <c r="AN274" s="31">
        <v>21</v>
      </c>
      <c r="AO274" s="31">
        <f>H274*1</f>
        <v>4807</v>
      </c>
      <c r="AP274" s="31">
        <f>H274*(1-1)</f>
        <v>0</v>
      </c>
      <c r="AQ274" s="32" t="s">
        <v>59</v>
      </c>
      <c r="AV274" s="31">
        <f>AW274+AX274</f>
        <v>4807</v>
      </c>
      <c r="AW274" s="31">
        <f>G274*AO274</f>
        <v>4807</v>
      </c>
      <c r="AX274" s="31">
        <f>G274*AP274</f>
        <v>0</v>
      </c>
      <c r="AY274" s="32" t="s">
        <v>403</v>
      </c>
      <c r="AZ274" s="32" t="s">
        <v>404</v>
      </c>
      <c r="BA274" s="12" t="s">
        <v>65</v>
      </c>
      <c r="BC274" s="31">
        <f>AW274+AX274</f>
        <v>4807</v>
      </c>
      <c r="BD274" s="31">
        <f>H274/(100-BE274)*100</f>
        <v>4807</v>
      </c>
      <c r="BE274" s="31">
        <v>0</v>
      </c>
      <c r="BF274" s="31">
        <f>O274</f>
        <v>0</v>
      </c>
      <c r="BH274" s="31">
        <f>G274*AO274</f>
        <v>4807</v>
      </c>
      <c r="BI274" s="31">
        <f>G274*AP274</f>
        <v>0</v>
      </c>
      <c r="BJ274" s="31">
        <f>G274*H274</f>
        <v>4807</v>
      </c>
      <c r="BK274" s="31"/>
      <c r="BL274" s="31">
        <v>85</v>
      </c>
      <c r="BW274" s="31" t="str">
        <f>I274</f>
        <v>21</v>
      </c>
      <c r="BX274" s="4" t="s">
        <v>453</v>
      </c>
    </row>
    <row r="275" spans="1:76">
      <c r="A275" s="34"/>
      <c r="D275" s="35" t="s">
        <v>450</v>
      </c>
      <c r="E275" s="35" t="s">
        <v>56</v>
      </c>
      <c r="G275" s="36">
        <v>1</v>
      </c>
      <c r="P275" s="37"/>
    </row>
    <row r="276" spans="1:76">
      <c r="A276" s="2" t="s">
        <v>454</v>
      </c>
      <c r="B276" s="3" t="s">
        <v>56</v>
      </c>
      <c r="C276" s="3" t="s">
        <v>455</v>
      </c>
      <c r="D276" s="74" t="s">
        <v>456</v>
      </c>
      <c r="E276" s="75"/>
      <c r="F276" s="3" t="s">
        <v>77</v>
      </c>
      <c r="G276" s="31">
        <v>1</v>
      </c>
      <c r="H276" s="31">
        <v>4694</v>
      </c>
      <c r="I276" s="32" t="s">
        <v>63</v>
      </c>
      <c r="J276" s="31">
        <f>G276*AO276</f>
        <v>4694</v>
      </c>
      <c r="K276" s="31">
        <f>G276*AP276</f>
        <v>0</v>
      </c>
      <c r="L276" s="31">
        <f>G276*H276</f>
        <v>4694</v>
      </c>
      <c r="M276" s="31">
        <f>L276*(1+BW276/100)</f>
        <v>5679.74</v>
      </c>
      <c r="N276" s="31">
        <v>0</v>
      </c>
      <c r="O276" s="31">
        <f>G276*N276</f>
        <v>0</v>
      </c>
      <c r="P276" s="33" t="s">
        <v>56</v>
      </c>
      <c r="Z276" s="31">
        <f>IF(AQ276="5",BJ276,0)</f>
        <v>0</v>
      </c>
      <c r="AB276" s="31">
        <f>IF(AQ276="1",BH276,0)</f>
        <v>4694</v>
      </c>
      <c r="AC276" s="31">
        <f>IF(AQ276="1",BI276,0)</f>
        <v>0</v>
      </c>
      <c r="AD276" s="31">
        <f>IF(AQ276="7",BH276,0)</f>
        <v>0</v>
      </c>
      <c r="AE276" s="31">
        <f>IF(AQ276="7",BI276,0)</f>
        <v>0</v>
      </c>
      <c r="AF276" s="31">
        <f>IF(AQ276="2",BH276,0)</f>
        <v>0</v>
      </c>
      <c r="AG276" s="31">
        <f>IF(AQ276="2",BI276,0)</f>
        <v>0</v>
      </c>
      <c r="AH276" s="31">
        <f>IF(AQ276="0",BJ276,0)</f>
        <v>0</v>
      </c>
      <c r="AI276" s="12" t="s">
        <v>56</v>
      </c>
      <c r="AJ276" s="31">
        <f>IF(AN276=0,L276,0)</f>
        <v>0</v>
      </c>
      <c r="AK276" s="31">
        <f>IF(AN276=12,L276,0)</f>
        <v>0</v>
      </c>
      <c r="AL276" s="31">
        <f>IF(AN276=21,L276,0)</f>
        <v>4694</v>
      </c>
      <c r="AN276" s="31">
        <v>21</v>
      </c>
      <c r="AO276" s="31">
        <f>H276*1</f>
        <v>4694</v>
      </c>
      <c r="AP276" s="31">
        <f>H276*(1-1)</f>
        <v>0</v>
      </c>
      <c r="AQ276" s="32" t="s">
        <v>59</v>
      </c>
      <c r="AV276" s="31">
        <f>AW276+AX276</f>
        <v>4694</v>
      </c>
      <c r="AW276" s="31">
        <f>G276*AO276</f>
        <v>4694</v>
      </c>
      <c r="AX276" s="31">
        <f>G276*AP276</f>
        <v>0</v>
      </c>
      <c r="AY276" s="32" t="s">
        <v>403</v>
      </c>
      <c r="AZ276" s="32" t="s">
        <v>404</v>
      </c>
      <c r="BA276" s="12" t="s">
        <v>65</v>
      </c>
      <c r="BC276" s="31">
        <f>AW276+AX276</f>
        <v>4694</v>
      </c>
      <c r="BD276" s="31">
        <f>H276/(100-BE276)*100</f>
        <v>4694</v>
      </c>
      <c r="BE276" s="31">
        <v>0</v>
      </c>
      <c r="BF276" s="31">
        <f>O276</f>
        <v>0</v>
      </c>
      <c r="BH276" s="31">
        <f>G276*AO276</f>
        <v>4694</v>
      </c>
      <c r="BI276" s="31">
        <f>G276*AP276</f>
        <v>0</v>
      </c>
      <c r="BJ276" s="31">
        <f>G276*H276</f>
        <v>4694</v>
      </c>
      <c r="BK276" s="31"/>
      <c r="BL276" s="31">
        <v>85</v>
      </c>
      <c r="BW276" s="31" t="str">
        <f>I276</f>
        <v>21</v>
      </c>
      <c r="BX276" s="4" t="s">
        <v>456</v>
      </c>
    </row>
    <row r="277" spans="1:76">
      <c r="A277" s="34"/>
      <c r="D277" s="35" t="s">
        <v>450</v>
      </c>
      <c r="E277" s="35" t="s">
        <v>56</v>
      </c>
      <c r="G277" s="36">
        <v>1</v>
      </c>
      <c r="P277" s="37"/>
    </row>
    <row r="278" spans="1:76">
      <c r="A278" s="2" t="s">
        <v>457</v>
      </c>
      <c r="B278" s="3" t="s">
        <v>56</v>
      </c>
      <c r="C278" s="3" t="s">
        <v>458</v>
      </c>
      <c r="D278" s="74" t="s">
        <v>459</v>
      </c>
      <c r="E278" s="75"/>
      <c r="F278" s="3" t="s">
        <v>77</v>
      </c>
      <c r="G278" s="31">
        <v>3</v>
      </c>
      <c r="H278" s="31">
        <v>914.01</v>
      </c>
      <c r="I278" s="32" t="s">
        <v>63</v>
      </c>
      <c r="J278" s="31">
        <f>G278*AO278</f>
        <v>8.9998908659999988E-2</v>
      </c>
      <c r="K278" s="31">
        <f>G278*AP278</f>
        <v>2741.94000109134</v>
      </c>
      <c r="L278" s="31">
        <f>G278*H278</f>
        <v>2742.0299999999997</v>
      </c>
      <c r="M278" s="31">
        <f>L278*(1+BW278/100)</f>
        <v>3317.8562999999995</v>
      </c>
      <c r="N278" s="31">
        <v>0</v>
      </c>
      <c r="O278" s="31">
        <f>G278*N278</f>
        <v>0</v>
      </c>
      <c r="P278" s="33" t="s">
        <v>85</v>
      </c>
      <c r="Z278" s="31">
        <f>IF(AQ278="5",BJ278,0)</f>
        <v>0</v>
      </c>
      <c r="AB278" s="31">
        <f>IF(AQ278="1",BH278,0)</f>
        <v>8.9998908659999988E-2</v>
      </c>
      <c r="AC278" s="31">
        <f>IF(AQ278="1",BI278,0)</f>
        <v>2741.94000109134</v>
      </c>
      <c r="AD278" s="31">
        <f>IF(AQ278="7",BH278,0)</f>
        <v>0</v>
      </c>
      <c r="AE278" s="31">
        <f>IF(AQ278="7",BI278,0)</f>
        <v>0</v>
      </c>
      <c r="AF278" s="31">
        <f>IF(AQ278="2",BH278,0)</f>
        <v>0</v>
      </c>
      <c r="AG278" s="31">
        <f>IF(AQ278="2",BI278,0)</f>
        <v>0</v>
      </c>
      <c r="AH278" s="31">
        <f>IF(AQ278="0",BJ278,0)</f>
        <v>0</v>
      </c>
      <c r="AI278" s="12" t="s">
        <v>56</v>
      </c>
      <c r="AJ278" s="31">
        <f>IF(AN278=0,L278,0)</f>
        <v>0</v>
      </c>
      <c r="AK278" s="31">
        <f>IF(AN278=12,L278,0)</f>
        <v>0</v>
      </c>
      <c r="AL278" s="31">
        <f>IF(AN278=21,L278,0)</f>
        <v>2742.0299999999997</v>
      </c>
      <c r="AN278" s="31">
        <v>21</v>
      </c>
      <c r="AO278" s="31">
        <f>H278*0.000032822</f>
        <v>2.9999636219999997E-2</v>
      </c>
      <c r="AP278" s="31">
        <f>H278*(1-0.000032822)</f>
        <v>913.98000036378005</v>
      </c>
      <c r="AQ278" s="32" t="s">
        <v>59</v>
      </c>
      <c r="AV278" s="31">
        <f>AW278+AX278</f>
        <v>2742.03</v>
      </c>
      <c r="AW278" s="31">
        <f>G278*AO278</f>
        <v>8.9998908659999988E-2</v>
      </c>
      <c r="AX278" s="31">
        <f>G278*AP278</f>
        <v>2741.94000109134</v>
      </c>
      <c r="AY278" s="32" t="s">
        <v>403</v>
      </c>
      <c r="AZ278" s="32" t="s">
        <v>404</v>
      </c>
      <c r="BA278" s="12" t="s">
        <v>65</v>
      </c>
      <c r="BC278" s="31">
        <f>AW278+AX278</f>
        <v>2742.03</v>
      </c>
      <c r="BD278" s="31">
        <f>H278/(100-BE278)*100</f>
        <v>914.01</v>
      </c>
      <c r="BE278" s="31">
        <v>0</v>
      </c>
      <c r="BF278" s="31">
        <f>O278</f>
        <v>0</v>
      </c>
      <c r="BH278" s="31">
        <f>G278*AO278</f>
        <v>8.9998908659999988E-2</v>
      </c>
      <c r="BI278" s="31">
        <f>G278*AP278</f>
        <v>2741.94000109134</v>
      </c>
      <c r="BJ278" s="31">
        <f>G278*H278</f>
        <v>2742.0299999999997</v>
      </c>
      <c r="BK278" s="31"/>
      <c r="BL278" s="31">
        <v>85</v>
      </c>
      <c r="BW278" s="31" t="str">
        <f>I278</f>
        <v>21</v>
      </c>
      <c r="BX278" s="4" t="s">
        <v>459</v>
      </c>
    </row>
    <row r="279" spans="1:76">
      <c r="A279" s="34"/>
      <c r="D279" s="35" t="s">
        <v>460</v>
      </c>
      <c r="E279" s="35" t="s">
        <v>56</v>
      </c>
      <c r="G279" s="36">
        <v>3</v>
      </c>
      <c r="P279" s="37"/>
    </row>
    <row r="280" spans="1:76">
      <c r="A280" s="2" t="s">
        <v>461</v>
      </c>
      <c r="B280" s="3" t="s">
        <v>56</v>
      </c>
      <c r="C280" s="3" t="s">
        <v>462</v>
      </c>
      <c r="D280" s="74" t="s">
        <v>463</v>
      </c>
      <c r="E280" s="75"/>
      <c r="F280" s="3" t="s">
        <v>77</v>
      </c>
      <c r="G280" s="31">
        <v>3</v>
      </c>
      <c r="H280" s="31">
        <v>4017</v>
      </c>
      <c r="I280" s="32" t="s">
        <v>63</v>
      </c>
      <c r="J280" s="31">
        <f>G280*AO280</f>
        <v>12051</v>
      </c>
      <c r="K280" s="31">
        <f>G280*AP280</f>
        <v>0</v>
      </c>
      <c r="L280" s="31">
        <f>G280*H280</f>
        <v>12051</v>
      </c>
      <c r="M280" s="31">
        <f>L280*(1+BW280/100)</f>
        <v>14581.71</v>
      </c>
      <c r="N280" s="31">
        <v>0</v>
      </c>
      <c r="O280" s="31">
        <f>G280*N280</f>
        <v>0</v>
      </c>
      <c r="P280" s="33" t="s">
        <v>56</v>
      </c>
      <c r="Z280" s="31">
        <f>IF(AQ280="5",BJ280,0)</f>
        <v>0</v>
      </c>
      <c r="AB280" s="31">
        <f>IF(AQ280="1",BH280,0)</f>
        <v>12051</v>
      </c>
      <c r="AC280" s="31">
        <f>IF(AQ280="1",BI280,0)</f>
        <v>0</v>
      </c>
      <c r="AD280" s="31">
        <f>IF(AQ280="7",BH280,0)</f>
        <v>0</v>
      </c>
      <c r="AE280" s="31">
        <f>IF(AQ280="7",BI280,0)</f>
        <v>0</v>
      </c>
      <c r="AF280" s="31">
        <f>IF(AQ280="2",BH280,0)</f>
        <v>0</v>
      </c>
      <c r="AG280" s="31">
        <f>IF(AQ280="2",BI280,0)</f>
        <v>0</v>
      </c>
      <c r="AH280" s="31">
        <f>IF(AQ280="0",BJ280,0)</f>
        <v>0</v>
      </c>
      <c r="AI280" s="12" t="s">
        <v>56</v>
      </c>
      <c r="AJ280" s="31">
        <f>IF(AN280=0,L280,0)</f>
        <v>0</v>
      </c>
      <c r="AK280" s="31">
        <f>IF(AN280=12,L280,0)</f>
        <v>0</v>
      </c>
      <c r="AL280" s="31">
        <f>IF(AN280=21,L280,0)</f>
        <v>12051</v>
      </c>
      <c r="AN280" s="31">
        <v>21</v>
      </c>
      <c r="AO280" s="31">
        <f>H280*1</f>
        <v>4017</v>
      </c>
      <c r="AP280" s="31">
        <f>H280*(1-1)</f>
        <v>0</v>
      </c>
      <c r="AQ280" s="32" t="s">
        <v>59</v>
      </c>
      <c r="AV280" s="31">
        <f>AW280+AX280</f>
        <v>12051</v>
      </c>
      <c r="AW280" s="31">
        <f>G280*AO280</f>
        <v>12051</v>
      </c>
      <c r="AX280" s="31">
        <f>G280*AP280</f>
        <v>0</v>
      </c>
      <c r="AY280" s="32" t="s">
        <v>403</v>
      </c>
      <c r="AZ280" s="32" t="s">
        <v>404</v>
      </c>
      <c r="BA280" s="12" t="s">
        <v>65</v>
      </c>
      <c r="BC280" s="31">
        <f>AW280+AX280</f>
        <v>12051</v>
      </c>
      <c r="BD280" s="31">
        <f>H280/(100-BE280)*100</f>
        <v>4017</v>
      </c>
      <c r="BE280" s="31">
        <v>0</v>
      </c>
      <c r="BF280" s="31">
        <f>O280</f>
        <v>0</v>
      </c>
      <c r="BH280" s="31">
        <f>G280*AO280</f>
        <v>12051</v>
      </c>
      <c r="BI280" s="31">
        <f>G280*AP280</f>
        <v>0</v>
      </c>
      <c r="BJ280" s="31">
        <f>G280*H280</f>
        <v>12051</v>
      </c>
      <c r="BK280" s="31"/>
      <c r="BL280" s="31">
        <v>85</v>
      </c>
      <c r="BW280" s="31" t="str">
        <f>I280</f>
        <v>21</v>
      </c>
      <c r="BX280" s="4" t="s">
        <v>463</v>
      </c>
    </row>
    <row r="281" spans="1:76">
      <c r="A281" s="34"/>
      <c r="D281" s="35" t="s">
        <v>416</v>
      </c>
      <c r="E281" s="35" t="s">
        <v>56</v>
      </c>
      <c r="G281" s="36">
        <v>3</v>
      </c>
      <c r="P281" s="37"/>
    </row>
    <row r="282" spans="1:76">
      <c r="A282" s="38" t="s">
        <v>56</v>
      </c>
      <c r="B282" s="39" t="s">
        <v>56</v>
      </c>
      <c r="C282" s="39" t="s">
        <v>464</v>
      </c>
      <c r="D282" s="76" t="s">
        <v>465</v>
      </c>
      <c r="E282" s="77"/>
      <c r="F282" s="40" t="s">
        <v>4</v>
      </c>
      <c r="G282" s="40" t="s">
        <v>4</v>
      </c>
      <c r="H282" s="40" t="s">
        <v>4</v>
      </c>
      <c r="I282" s="40" t="s">
        <v>4</v>
      </c>
      <c r="J282" s="1">
        <f>SUM(J283:J318)</f>
        <v>5485839.6924907882</v>
      </c>
      <c r="K282" s="1">
        <f>SUM(K283:K318)</f>
        <v>648309.9630092117</v>
      </c>
      <c r="L282" s="1">
        <f>SUM(L283:L318)</f>
        <v>6134149.6555000013</v>
      </c>
      <c r="M282" s="1">
        <f>SUM(M283:M318)</f>
        <v>7422321.0831550006</v>
      </c>
      <c r="N282" s="12" t="s">
        <v>56</v>
      </c>
      <c r="O282" s="1">
        <f>SUM(O283:O318)</f>
        <v>381.33629016000003</v>
      </c>
      <c r="P282" s="41" t="s">
        <v>56</v>
      </c>
      <c r="AI282" s="12" t="s">
        <v>56</v>
      </c>
      <c r="AS282" s="1">
        <f>SUM(AJ283:AJ318)</f>
        <v>0</v>
      </c>
      <c r="AT282" s="1">
        <f>SUM(AK283:AK318)</f>
        <v>0</v>
      </c>
      <c r="AU282" s="1">
        <f>SUM(AL283:AL318)</f>
        <v>6134149.6555000013</v>
      </c>
    </row>
    <row r="283" spans="1:76">
      <c r="A283" s="2" t="s">
        <v>466</v>
      </c>
      <c r="B283" s="3" t="s">
        <v>56</v>
      </c>
      <c r="C283" s="3" t="s">
        <v>467</v>
      </c>
      <c r="D283" s="74" t="s">
        <v>468</v>
      </c>
      <c r="E283" s="75"/>
      <c r="F283" s="3" t="s">
        <v>84</v>
      </c>
      <c r="G283" s="31">
        <v>982.08</v>
      </c>
      <c r="H283" s="31">
        <v>110</v>
      </c>
      <c r="I283" s="32" t="s">
        <v>63</v>
      </c>
      <c r="J283" s="31">
        <f>G283*AO283</f>
        <v>0</v>
      </c>
      <c r="K283" s="31">
        <f>G283*AP283</f>
        <v>108028.8</v>
      </c>
      <c r="L283" s="31">
        <f>G283*H283</f>
        <v>108028.8</v>
      </c>
      <c r="M283" s="31">
        <f>L283*(1+BW283/100)</f>
        <v>130714.848</v>
      </c>
      <c r="N283" s="31">
        <v>0</v>
      </c>
      <c r="O283" s="31">
        <f>G283*N283</f>
        <v>0</v>
      </c>
      <c r="P283" s="33" t="s">
        <v>85</v>
      </c>
      <c r="Z283" s="31">
        <f>IF(AQ283="5",BJ283,0)</f>
        <v>0</v>
      </c>
      <c r="AB283" s="31">
        <f>IF(AQ283="1",BH283,0)</f>
        <v>0</v>
      </c>
      <c r="AC283" s="31">
        <f>IF(AQ283="1",BI283,0)</f>
        <v>108028.8</v>
      </c>
      <c r="AD283" s="31">
        <f>IF(AQ283="7",BH283,0)</f>
        <v>0</v>
      </c>
      <c r="AE283" s="31">
        <f>IF(AQ283="7",BI283,0)</f>
        <v>0</v>
      </c>
      <c r="AF283" s="31">
        <f>IF(AQ283="2",BH283,0)</f>
        <v>0</v>
      </c>
      <c r="AG283" s="31">
        <f>IF(AQ283="2",BI283,0)</f>
        <v>0</v>
      </c>
      <c r="AH283" s="31">
        <f>IF(AQ283="0",BJ283,0)</f>
        <v>0</v>
      </c>
      <c r="AI283" s="12" t="s">
        <v>56</v>
      </c>
      <c r="AJ283" s="31">
        <f>IF(AN283=0,L283,0)</f>
        <v>0</v>
      </c>
      <c r="AK283" s="31">
        <f>IF(AN283=12,L283,0)</f>
        <v>0</v>
      </c>
      <c r="AL283" s="31">
        <f>IF(AN283=21,L283,0)</f>
        <v>108028.8</v>
      </c>
      <c r="AN283" s="31">
        <v>21</v>
      </c>
      <c r="AO283" s="31">
        <f>H283*0</f>
        <v>0</v>
      </c>
      <c r="AP283" s="31">
        <f>H283*(1-0)</f>
        <v>110</v>
      </c>
      <c r="AQ283" s="32" t="s">
        <v>59</v>
      </c>
      <c r="AV283" s="31">
        <f>AW283+AX283</f>
        <v>108028.8</v>
      </c>
      <c r="AW283" s="31">
        <f>G283*AO283</f>
        <v>0</v>
      </c>
      <c r="AX283" s="31">
        <f>G283*AP283</f>
        <v>108028.8</v>
      </c>
      <c r="AY283" s="32" t="s">
        <v>469</v>
      </c>
      <c r="AZ283" s="32" t="s">
        <v>404</v>
      </c>
      <c r="BA283" s="12" t="s">
        <v>65</v>
      </c>
      <c r="BC283" s="31">
        <f>AW283+AX283</f>
        <v>108028.8</v>
      </c>
      <c r="BD283" s="31">
        <f>H283/(100-BE283)*100</f>
        <v>110.00000000000001</v>
      </c>
      <c r="BE283" s="31">
        <v>0</v>
      </c>
      <c r="BF283" s="31">
        <f>O283</f>
        <v>0</v>
      </c>
      <c r="BH283" s="31">
        <f>G283*AO283</f>
        <v>0</v>
      </c>
      <c r="BI283" s="31">
        <f>G283*AP283</f>
        <v>108028.8</v>
      </c>
      <c r="BJ283" s="31">
        <f>G283*H283</f>
        <v>108028.8</v>
      </c>
      <c r="BK283" s="31"/>
      <c r="BL283" s="31">
        <v>87</v>
      </c>
      <c r="BW283" s="31" t="str">
        <f>I283</f>
        <v>21</v>
      </c>
      <c r="BX283" s="4" t="s">
        <v>468</v>
      </c>
    </row>
    <row r="284" spans="1:76">
      <c r="A284" s="34"/>
      <c r="D284" s="35" t="s">
        <v>143</v>
      </c>
      <c r="E284" s="35" t="s">
        <v>56</v>
      </c>
      <c r="G284" s="36">
        <v>261.2</v>
      </c>
      <c r="P284" s="37"/>
    </row>
    <row r="285" spans="1:76">
      <c r="A285" s="34"/>
      <c r="D285" s="35" t="s">
        <v>144</v>
      </c>
      <c r="E285" s="35" t="s">
        <v>56</v>
      </c>
      <c r="G285" s="36">
        <v>33</v>
      </c>
      <c r="P285" s="37"/>
    </row>
    <row r="286" spans="1:76">
      <c r="A286" s="34"/>
      <c r="D286" s="35" t="s">
        <v>145</v>
      </c>
      <c r="E286" s="35" t="s">
        <v>56</v>
      </c>
      <c r="G286" s="36">
        <v>72.95</v>
      </c>
      <c r="P286" s="37"/>
    </row>
    <row r="287" spans="1:76">
      <c r="A287" s="34"/>
      <c r="D287" s="35" t="s">
        <v>146</v>
      </c>
      <c r="E287" s="35" t="s">
        <v>56</v>
      </c>
      <c r="G287" s="36">
        <v>41.75</v>
      </c>
      <c r="P287" s="37"/>
    </row>
    <row r="288" spans="1:76">
      <c r="A288" s="34"/>
      <c r="D288" s="35" t="s">
        <v>147</v>
      </c>
      <c r="E288" s="35" t="s">
        <v>56</v>
      </c>
      <c r="G288" s="36">
        <v>573.17999999999995</v>
      </c>
      <c r="P288" s="37"/>
    </row>
    <row r="289" spans="1:76">
      <c r="A289" s="2" t="s">
        <v>470</v>
      </c>
      <c r="B289" s="3" t="s">
        <v>56</v>
      </c>
      <c r="C289" s="3" t="s">
        <v>471</v>
      </c>
      <c r="D289" s="74" t="s">
        <v>472</v>
      </c>
      <c r="E289" s="75"/>
      <c r="F289" s="3" t="s">
        <v>84</v>
      </c>
      <c r="G289" s="31">
        <v>721.58</v>
      </c>
      <c r="H289" s="31">
        <v>137.5</v>
      </c>
      <c r="I289" s="32" t="s">
        <v>63</v>
      </c>
      <c r="J289" s="31">
        <f>G289*AO289</f>
        <v>0</v>
      </c>
      <c r="K289" s="31">
        <f>G289*AP289</f>
        <v>99217.25</v>
      </c>
      <c r="L289" s="31">
        <f>G289*H289</f>
        <v>99217.25</v>
      </c>
      <c r="M289" s="31">
        <f>L289*(1+BW289/100)</f>
        <v>120052.8725</v>
      </c>
      <c r="N289" s="31">
        <v>0</v>
      </c>
      <c r="O289" s="31">
        <f>G289*N289</f>
        <v>0</v>
      </c>
      <c r="P289" s="33" t="s">
        <v>85</v>
      </c>
      <c r="Z289" s="31">
        <f>IF(AQ289="5",BJ289,0)</f>
        <v>0</v>
      </c>
      <c r="AB289" s="31">
        <f>IF(AQ289="1",BH289,0)</f>
        <v>0</v>
      </c>
      <c r="AC289" s="31">
        <f>IF(AQ289="1",BI289,0)</f>
        <v>99217.25</v>
      </c>
      <c r="AD289" s="31">
        <f>IF(AQ289="7",BH289,0)</f>
        <v>0</v>
      </c>
      <c r="AE289" s="31">
        <f>IF(AQ289="7",BI289,0)</f>
        <v>0</v>
      </c>
      <c r="AF289" s="31">
        <f>IF(AQ289="2",BH289,0)</f>
        <v>0</v>
      </c>
      <c r="AG289" s="31">
        <f>IF(AQ289="2",BI289,0)</f>
        <v>0</v>
      </c>
      <c r="AH289" s="31">
        <f>IF(AQ289="0",BJ289,0)</f>
        <v>0</v>
      </c>
      <c r="AI289" s="12" t="s">
        <v>56</v>
      </c>
      <c r="AJ289" s="31">
        <f>IF(AN289=0,L289,0)</f>
        <v>0</v>
      </c>
      <c r="AK289" s="31">
        <f>IF(AN289=12,L289,0)</f>
        <v>0</v>
      </c>
      <c r="AL289" s="31">
        <f>IF(AN289=21,L289,0)</f>
        <v>99217.25</v>
      </c>
      <c r="AN289" s="31">
        <v>21</v>
      </c>
      <c r="AO289" s="31">
        <f>H289*0</f>
        <v>0</v>
      </c>
      <c r="AP289" s="31">
        <f>H289*(1-0)</f>
        <v>137.5</v>
      </c>
      <c r="AQ289" s="32" t="s">
        <v>59</v>
      </c>
      <c r="AV289" s="31">
        <f>AW289+AX289</f>
        <v>99217.25</v>
      </c>
      <c r="AW289" s="31">
        <f>G289*AO289</f>
        <v>0</v>
      </c>
      <c r="AX289" s="31">
        <f>G289*AP289</f>
        <v>99217.25</v>
      </c>
      <c r="AY289" s="32" t="s">
        <v>469</v>
      </c>
      <c r="AZ289" s="32" t="s">
        <v>404</v>
      </c>
      <c r="BA289" s="12" t="s">
        <v>65</v>
      </c>
      <c r="BC289" s="31">
        <f>AW289+AX289</f>
        <v>99217.25</v>
      </c>
      <c r="BD289" s="31">
        <f>H289/(100-BE289)*100</f>
        <v>137.5</v>
      </c>
      <c r="BE289" s="31">
        <v>0</v>
      </c>
      <c r="BF289" s="31">
        <f>O289</f>
        <v>0</v>
      </c>
      <c r="BH289" s="31">
        <f>G289*AO289</f>
        <v>0</v>
      </c>
      <c r="BI289" s="31">
        <f>G289*AP289</f>
        <v>99217.25</v>
      </c>
      <c r="BJ289" s="31">
        <f>G289*H289</f>
        <v>99217.25</v>
      </c>
      <c r="BK289" s="31"/>
      <c r="BL289" s="31">
        <v>87</v>
      </c>
      <c r="BW289" s="31" t="str">
        <f>I289</f>
        <v>21</v>
      </c>
      <c r="BX289" s="4" t="s">
        <v>472</v>
      </c>
    </row>
    <row r="290" spans="1:76">
      <c r="A290" s="34"/>
      <c r="D290" s="35" t="s">
        <v>473</v>
      </c>
      <c r="E290" s="35" t="s">
        <v>56</v>
      </c>
      <c r="G290" s="36">
        <v>721.58</v>
      </c>
      <c r="P290" s="37"/>
    </row>
    <row r="291" spans="1:76">
      <c r="A291" s="2" t="s">
        <v>474</v>
      </c>
      <c r="B291" s="3" t="s">
        <v>56</v>
      </c>
      <c r="C291" s="3" t="s">
        <v>475</v>
      </c>
      <c r="D291" s="74" t="s">
        <v>476</v>
      </c>
      <c r="E291" s="75"/>
      <c r="F291" s="3" t="s">
        <v>84</v>
      </c>
      <c r="G291" s="31">
        <v>757.65899999999999</v>
      </c>
      <c r="H291" s="31">
        <v>569</v>
      </c>
      <c r="I291" s="32" t="s">
        <v>63</v>
      </c>
      <c r="J291" s="31">
        <f>G291*AO291</f>
        <v>431107.97100000002</v>
      </c>
      <c r="K291" s="31">
        <f>G291*AP291</f>
        <v>0</v>
      </c>
      <c r="L291" s="31">
        <f>G291*H291</f>
        <v>431107.97100000002</v>
      </c>
      <c r="M291" s="31">
        <f>L291*(1+BW291/100)</f>
        <v>521640.64491000003</v>
      </c>
      <c r="N291" s="31">
        <v>3.46E-3</v>
      </c>
      <c r="O291" s="31">
        <f>G291*N291</f>
        <v>2.6215001399999998</v>
      </c>
      <c r="P291" s="33" t="s">
        <v>85</v>
      </c>
      <c r="Z291" s="31">
        <f>IF(AQ291="5",BJ291,0)</f>
        <v>0</v>
      </c>
      <c r="AB291" s="31">
        <f>IF(AQ291="1",BH291,0)</f>
        <v>431107.97100000002</v>
      </c>
      <c r="AC291" s="31">
        <f>IF(AQ291="1",BI291,0)</f>
        <v>0</v>
      </c>
      <c r="AD291" s="31">
        <f>IF(AQ291="7",BH291,0)</f>
        <v>0</v>
      </c>
      <c r="AE291" s="31">
        <f>IF(AQ291="7",BI291,0)</f>
        <v>0</v>
      </c>
      <c r="AF291" s="31">
        <f>IF(AQ291="2",BH291,0)</f>
        <v>0</v>
      </c>
      <c r="AG291" s="31">
        <f>IF(AQ291="2",BI291,0)</f>
        <v>0</v>
      </c>
      <c r="AH291" s="31">
        <f>IF(AQ291="0",BJ291,0)</f>
        <v>0</v>
      </c>
      <c r="AI291" s="12" t="s">
        <v>56</v>
      </c>
      <c r="AJ291" s="31">
        <f>IF(AN291=0,L291,0)</f>
        <v>0</v>
      </c>
      <c r="AK291" s="31">
        <f>IF(AN291=12,L291,0)</f>
        <v>0</v>
      </c>
      <c r="AL291" s="31">
        <f>IF(AN291=21,L291,0)</f>
        <v>431107.97100000002</v>
      </c>
      <c r="AN291" s="31">
        <v>21</v>
      </c>
      <c r="AO291" s="31">
        <f>H291*1</f>
        <v>569</v>
      </c>
      <c r="AP291" s="31">
        <f>H291*(1-1)</f>
        <v>0</v>
      </c>
      <c r="AQ291" s="32" t="s">
        <v>59</v>
      </c>
      <c r="AV291" s="31">
        <f>AW291+AX291</f>
        <v>431107.97100000002</v>
      </c>
      <c r="AW291" s="31">
        <f>G291*AO291</f>
        <v>431107.97100000002</v>
      </c>
      <c r="AX291" s="31">
        <f>G291*AP291</f>
        <v>0</v>
      </c>
      <c r="AY291" s="32" t="s">
        <v>469</v>
      </c>
      <c r="AZ291" s="32" t="s">
        <v>404</v>
      </c>
      <c r="BA291" s="12" t="s">
        <v>65</v>
      </c>
      <c r="BC291" s="31">
        <f>AW291+AX291</f>
        <v>431107.97100000002</v>
      </c>
      <c r="BD291" s="31">
        <f>H291/(100-BE291)*100</f>
        <v>569</v>
      </c>
      <c r="BE291" s="31">
        <v>0</v>
      </c>
      <c r="BF291" s="31">
        <f>O291</f>
        <v>2.6215001399999998</v>
      </c>
      <c r="BH291" s="31">
        <f>G291*AO291</f>
        <v>431107.97100000002</v>
      </c>
      <c r="BI291" s="31">
        <f>G291*AP291</f>
        <v>0</v>
      </c>
      <c r="BJ291" s="31">
        <f>G291*H291</f>
        <v>431107.97100000002</v>
      </c>
      <c r="BK291" s="31"/>
      <c r="BL291" s="31">
        <v>87</v>
      </c>
      <c r="BW291" s="31" t="str">
        <f>I291</f>
        <v>21</v>
      </c>
      <c r="BX291" s="4" t="s">
        <v>476</v>
      </c>
    </row>
    <row r="292" spans="1:76">
      <c r="A292" s="34"/>
      <c r="D292" s="35" t="s">
        <v>477</v>
      </c>
      <c r="E292" s="35" t="s">
        <v>56</v>
      </c>
      <c r="G292" s="36">
        <v>757.65899999999999</v>
      </c>
      <c r="P292" s="37"/>
    </row>
    <row r="293" spans="1:76">
      <c r="A293" s="34"/>
      <c r="D293" s="35" t="s">
        <v>390</v>
      </c>
      <c r="E293" s="35" t="s">
        <v>56</v>
      </c>
      <c r="G293" s="36">
        <v>0</v>
      </c>
      <c r="P293" s="37"/>
    </row>
    <row r="294" spans="1:76">
      <c r="A294" s="2" t="s">
        <v>478</v>
      </c>
      <c r="B294" s="3" t="s">
        <v>56</v>
      </c>
      <c r="C294" s="3" t="s">
        <v>479</v>
      </c>
      <c r="D294" s="74" t="s">
        <v>480</v>
      </c>
      <c r="E294" s="75"/>
      <c r="F294" s="3" t="s">
        <v>84</v>
      </c>
      <c r="G294" s="31">
        <v>573.17999999999995</v>
      </c>
      <c r="H294" s="31">
        <v>103.49</v>
      </c>
      <c r="I294" s="32" t="s">
        <v>63</v>
      </c>
      <c r="J294" s="31">
        <f>G294*AO294</f>
        <v>0</v>
      </c>
      <c r="K294" s="31">
        <f>G294*AP294</f>
        <v>59318.398199999989</v>
      </c>
      <c r="L294" s="31">
        <f>G294*H294</f>
        <v>59318.398199999989</v>
      </c>
      <c r="M294" s="31">
        <f>L294*(1+BW294/100)</f>
        <v>71775.261821999986</v>
      </c>
      <c r="N294" s="31">
        <v>0</v>
      </c>
      <c r="O294" s="31">
        <f>G294*N294</f>
        <v>0</v>
      </c>
      <c r="P294" s="33" t="s">
        <v>85</v>
      </c>
      <c r="Z294" s="31">
        <f>IF(AQ294="5",BJ294,0)</f>
        <v>0</v>
      </c>
      <c r="AB294" s="31">
        <f>IF(AQ294="1",BH294,0)</f>
        <v>0</v>
      </c>
      <c r="AC294" s="31">
        <f>IF(AQ294="1",BI294,0)</f>
        <v>59318.398199999989</v>
      </c>
      <c r="AD294" s="31">
        <f>IF(AQ294="7",BH294,0)</f>
        <v>0</v>
      </c>
      <c r="AE294" s="31">
        <f>IF(AQ294="7",BI294,0)</f>
        <v>0</v>
      </c>
      <c r="AF294" s="31">
        <f>IF(AQ294="2",BH294,0)</f>
        <v>0</v>
      </c>
      <c r="AG294" s="31">
        <f>IF(AQ294="2",BI294,0)</f>
        <v>0</v>
      </c>
      <c r="AH294" s="31">
        <f>IF(AQ294="0",BJ294,0)</f>
        <v>0</v>
      </c>
      <c r="AI294" s="12" t="s">
        <v>56</v>
      </c>
      <c r="AJ294" s="31">
        <f>IF(AN294=0,L294,0)</f>
        <v>0</v>
      </c>
      <c r="AK294" s="31">
        <f>IF(AN294=12,L294,0)</f>
        <v>0</v>
      </c>
      <c r="AL294" s="31">
        <f>IF(AN294=21,L294,0)</f>
        <v>59318.398199999989</v>
      </c>
      <c r="AN294" s="31">
        <v>21</v>
      </c>
      <c r="AO294" s="31">
        <f>H294*0</f>
        <v>0</v>
      </c>
      <c r="AP294" s="31">
        <f>H294*(1-0)</f>
        <v>103.49</v>
      </c>
      <c r="AQ294" s="32" t="s">
        <v>59</v>
      </c>
      <c r="AV294" s="31">
        <f>AW294+AX294</f>
        <v>59318.398199999989</v>
      </c>
      <c r="AW294" s="31">
        <f>G294*AO294</f>
        <v>0</v>
      </c>
      <c r="AX294" s="31">
        <f>G294*AP294</f>
        <v>59318.398199999989</v>
      </c>
      <c r="AY294" s="32" t="s">
        <v>469</v>
      </c>
      <c r="AZ294" s="32" t="s">
        <v>404</v>
      </c>
      <c r="BA294" s="12" t="s">
        <v>65</v>
      </c>
      <c r="BC294" s="31">
        <f>AW294+AX294</f>
        <v>59318.398199999989</v>
      </c>
      <c r="BD294" s="31">
        <f>H294/(100-BE294)*100</f>
        <v>103.49</v>
      </c>
      <c r="BE294" s="31">
        <v>0</v>
      </c>
      <c r="BF294" s="31">
        <f>O294</f>
        <v>0</v>
      </c>
      <c r="BH294" s="31">
        <f>G294*AO294</f>
        <v>0</v>
      </c>
      <c r="BI294" s="31">
        <f>G294*AP294</f>
        <v>59318.398199999989</v>
      </c>
      <c r="BJ294" s="31">
        <f>G294*H294</f>
        <v>59318.398199999989</v>
      </c>
      <c r="BK294" s="31"/>
      <c r="BL294" s="31">
        <v>87</v>
      </c>
      <c r="BW294" s="31" t="str">
        <f>I294</f>
        <v>21</v>
      </c>
      <c r="BX294" s="4" t="s">
        <v>480</v>
      </c>
    </row>
    <row r="295" spans="1:76">
      <c r="A295" s="34"/>
      <c r="D295" s="35" t="s">
        <v>481</v>
      </c>
      <c r="E295" s="35" t="s">
        <v>56</v>
      </c>
      <c r="G295" s="36">
        <v>573.17999999999995</v>
      </c>
      <c r="P295" s="37"/>
    </row>
    <row r="296" spans="1:76">
      <c r="A296" s="2" t="s">
        <v>482</v>
      </c>
      <c r="B296" s="3" t="s">
        <v>56</v>
      </c>
      <c r="C296" s="3" t="s">
        <v>483</v>
      </c>
      <c r="D296" s="74" t="s">
        <v>484</v>
      </c>
      <c r="E296" s="75"/>
      <c r="F296" s="3" t="s">
        <v>84</v>
      </c>
      <c r="G296" s="31">
        <v>601.83900000000006</v>
      </c>
      <c r="H296" s="31">
        <v>1750</v>
      </c>
      <c r="I296" s="32" t="s">
        <v>63</v>
      </c>
      <c r="J296" s="31">
        <f>G296*AO296</f>
        <v>1053218.25</v>
      </c>
      <c r="K296" s="31">
        <f>G296*AP296</f>
        <v>0</v>
      </c>
      <c r="L296" s="31">
        <f>G296*H296</f>
        <v>1053218.25</v>
      </c>
      <c r="M296" s="31">
        <f>L296*(1+BW296/100)</f>
        <v>1274394.0825</v>
      </c>
      <c r="N296" s="31">
        <v>1.37E-2</v>
      </c>
      <c r="O296" s="31">
        <f>G296*N296</f>
        <v>8.2451943000000014</v>
      </c>
      <c r="P296" s="33" t="s">
        <v>56</v>
      </c>
      <c r="Z296" s="31">
        <f>IF(AQ296="5",BJ296,0)</f>
        <v>0</v>
      </c>
      <c r="AB296" s="31">
        <f>IF(AQ296="1",BH296,0)</f>
        <v>1053218.25</v>
      </c>
      <c r="AC296" s="31">
        <f>IF(AQ296="1",BI296,0)</f>
        <v>0</v>
      </c>
      <c r="AD296" s="31">
        <f>IF(AQ296="7",BH296,0)</f>
        <v>0</v>
      </c>
      <c r="AE296" s="31">
        <f>IF(AQ296="7",BI296,0)</f>
        <v>0</v>
      </c>
      <c r="AF296" s="31">
        <f>IF(AQ296="2",BH296,0)</f>
        <v>0</v>
      </c>
      <c r="AG296" s="31">
        <f>IF(AQ296="2",BI296,0)</f>
        <v>0</v>
      </c>
      <c r="AH296" s="31">
        <f>IF(AQ296="0",BJ296,0)</f>
        <v>0</v>
      </c>
      <c r="AI296" s="12" t="s">
        <v>56</v>
      </c>
      <c r="AJ296" s="31">
        <f>IF(AN296=0,L296,0)</f>
        <v>0</v>
      </c>
      <c r="AK296" s="31">
        <f>IF(AN296=12,L296,0)</f>
        <v>0</v>
      </c>
      <c r="AL296" s="31">
        <f>IF(AN296=21,L296,0)</f>
        <v>1053218.25</v>
      </c>
      <c r="AN296" s="31">
        <v>21</v>
      </c>
      <c r="AO296" s="31">
        <f>H296*1</f>
        <v>1750</v>
      </c>
      <c r="AP296" s="31">
        <f>H296*(1-1)</f>
        <v>0</v>
      </c>
      <c r="AQ296" s="32" t="s">
        <v>59</v>
      </c>
      <c r="AV296" s="31">
        <f>AW296+AX296</f>
        <v>1053218.25</v>
      </c>
      <c r="AW296" s="31">
        <f>G296*AO296</f>
        <v>1053218.25</v>
      </c>
      <c r="AX296" s="31">
        <f>G296*AP296</f>
        <v>0</v>
      </c>
      <c r="AY296" s="32" t="s">
        <v>469</v>
      </c>
      <c r="AZ296" s="32" t="s">
        <v>404</v>
      </c>
      <c r="BA296" s="12" t="s">
        <v>65</v>
      </c>
      <c r="BC296" s="31">
        <f>AW296+AX296</f>
        <v>1053218.25</v>
      </c>
      <c r="BD296" s="31">
        <f>H296/(100-BE296)*100</f>
        <v>1750</v>
      </c>
      <c r="BE296" s="31">
        <v>0</v>
      </c>
      <c r="BF296" s="31">
        <f>O296</f>
        <v>8.2451943000000014</v>
      </c>
      <c r="BH296" s="31">
        <f>G296*AO296</f>
        <v>1053218.25</v>
      </c>
      <c r="BI296" s="31">
        <f>G296*AP296</f>
        <v>0</v>
      </c>
      <c r="BJ296" s="31">
        <f>G296*H296</f>
        <v>1053218.25</v>
      </c>
      <c r="BK296" s="31"/>
      <c r="BL296" s="31">
        <v>87</v>
      </c>
      <c r="BW296" s="31" t="str">
        <f>I296</f>
        <v>21</v>
      </c>
      <c r="BX296" s="4" t="s">
        <v>484</v>
      </c>
    </row>
    <row r="297" spans="1:76">
      <c r="A297" s="34"/>
      <c r="D297" s="35" t="s">
        <v>485</v>
      </c>
      <c r="E297" s="35" t="s">
        <v>56</v>
      </c>
      <c r="G297" s="36">
        <v>601.83900000000006</v>
      </c>
      <c r="P297" s="37"/>
    </row>
    <row r="298" spans="1:76">
      <c r="A298" s="34"/>
      <c r="D298" s="35" t="s">
        <v>390</v>
      </c>
      <c r="E298" s="35" t="s">
        <v>56</v>
      </c>
      <c r="G298" s="36">
        <v>0</v>
      </c>
      <c r="P298" s="37"/>
    </row>
    <row r="299" spans="1:76">
      <c r="A299" s="2" t="s">
        <v>486</v>
      </c>
      <c r="B299" s="3" t="s">
        <v>56</v>
      </c>
      <c r="C299" s="3" t="s">
        <v>487</v>
      </c>
      <c r="D299" s="74" t="s">
        <v>488</v>
      </c>
      <c r="E299" s="75"/>
      <c r="F299" s="3" t="s">
        <v>84</v>
      </c>
      <c r="G299" s="31">
        <v>874.7</v>
      </c>
      <c r="H299" s="31">
        <v>398.01</v>
      </c>
      <c r="I299" s="32" t="s">
        <v>63</v>
      </c>
      <c r="J299" s="31">
        <f>G299*AO299</f>
        <v>0</v>
      </c>
      <c r="K299" s="31">
        <f>G299*AP299</f>
        <v>348139.34700000001</v>
      </c>
      <c r="L299" s="31">
        <f>G299*H299</f>
        <v>348139.34700000001</v>
      </c>
      <c r="M299" s="31">
        <f>L299*(1+BW299/100)</f>
        <v>421248.60986999999</v>
      </c>
      <c r="N299" s="31">
        <v>0</v>
      </c>
      <c r="O299" s="31">
        <f>G299*N299</f>
        <v>0</v>
      </c>
      <c r="P299" s="33" t="s">
        <v>85</v>
      </c>
      <c r="Z299" s="31">
        <f>IF(AQ299="5",BJ299,0)</f>
        <v>0</v>
      </c>
      <c r="AB299" s="31">
        <f>IF(AQ299="1",BH299,0)</f>
        <v>0</v>
      </c>
      <c r="AC299" s="31">
        <f>IF(AQ299="1",BI299,0)</f>
        <v>348139.34700000001</v>
      </c>
      <c r="AD299" s="31">
        <f>IF(AQ299="7",BH299,0)</f>
        <v>0</v>
      </c>
      <c r="AE299" s="31">
        <f>IF(AQ299="7",BI299,0)</f>
        <v>0</v>
      </c>
      <c r="AF299" s="31">
        <f>IF(AQ299="2",BH299,0)</f>
        <v>0</v>
      </c>
      <c r="AG299" s="31">
        <f>IF(AQ299="2",BI299,0)</f>
        <v>0</v>
      </c>
      <c r="AH299" s="31">
        <f>IF(AQ299="0",BJ299,0)</f>
        <v>0</v>
      </c>
      <c r="AI299" s="12" t="s">
        <v>56</v>
      </c>
      <c r="AJ299" s="31">
        <f>IF(AN299=0,L299,0)</f>
        <v>0</v>
      </c>
      <c r="AK299" s="31">
        <f>IF(AN299=12,L299,0)</f>
        <v>0</v>
      </c>
      <c r="AL299" s="31">
        <f>IF(AN299=21,L299,0)</f>
        <v>348139.34700000001</v>
      </c>
      <c r="AN299" s="31">
        <v>21</v>
      </c>
      <c r="AO299" s="31">
        <f>H299*0</f>
        <v>0</v>
      </c>
      <c r="AP299" s="31">
        <f>H299*(1-0)</f>
        <v>398.01</v>
      </c>
      <c r="AQ299" s="32" t="s">
        <v>59</v>
      </c>
      <c r="AV299" s="31">
        <f>AW299+AX299</f>
        <v>348139.34700000001</v>
      </c>
      <c r="AW299" s="31">
        <f>G299*AO299</f>
        <v>0</v>
      </c>
      <c r="AX299" s="31">
        <f>G299*AP299</f>
        <v>348139.34700000001</v>
      </c>
      <c r="AY299" s="32" t="s">
        <v>469</v>
      </c>
      <c r="AZ299" s="32" t="s">
        <v>404</v>
      </c>
      <c r="BA299" s="12" t="s">
        <v>65</v>
      </c>
      <c r="BC299" s="31">
        <f>AW299+AX299</f>
        <v>348139.34700000001</v>
      </c>
      <c r="BD299" s="31">
        <f>H299/(100-BE299)*100</f>
        <v>398.01</v>
      </c>
      <c r="BE299" s="31">
        <v>0</v>
      </c>
      <c r="BF299" s="31">
        <f>O299</f>
        <v>0</v>
      </c>
      <c r="BH299" s="31">
        <f>G299*AO299</f>
        <v>0</v>
      </c>
      <c r="BI299" s="31">
        <f>G299*AP299</f>
        <v>348139.34700000001</v>
      </c>
      <c r="BJ299" s="31">
        <f>G299*H299</f>
        <v>348139.34700000001</v>
      </c>
      <c r="BK299" s="31"/>
      <c r="BL299" s="31">
        <v>87</v>
      </c>
      <c r="BW299" s="31" t="str">
        <f>I299</f>
        <v>21</v>
      </c>
      <c r="BX299" s="4" t="s">
        <v>488</v>
      </c>
    </row>
    <row r="300" spans="1:76">
      <c r="A300" s="34"/>
      <c r="D300" s="35" t="s">
        <v>489</v>
      </c>
      <c r="E300" s="35" t="s">
        <v>56</v>
      </c>
      <c r="G300" s="36">
        <v>874.7</v>
      </c>
      <c r="P300" s="37"/>
    </row>
    <row r="301" spans="1:76">
      <c r="A301" s="2" t="s">
        <v>490</v>
      </c>
      <c r="B301" s="3" t="s">
        <v>56</v>
      </c>
      <c r="C301" s="3" t="s">
        <v>491</v>
      </c>
      <c r="D301" s="74" t="s">
        <v>492</v>
      </c>
      <c r="E301" s="75"/>
      <c r="F301" s="3" t="s">
        <v>84</v>
      </c>
      <c r="G301" s="31">
        <v>918.43499999999995</v>
      </c>
      <c r="H301" s="31">
        <v>4250</v>
      </c>
      <c r="I301" s="32" t="s">
        <v>63</v>
      </c>
      <c r="J301" s="31">
        <f>G301*AO301</f>
        <v>3903348.75</v>
      </c>
      <c r="K301" s="31">
        <f>G301*AP301</f>
        <v>0</v>
      </c>
      <c r="L301" s="31">
        <f>G301*H301</f>
        <v>3903348.75</v>
      </c>
      <c r="M301" s="31">
        <f>L301*(1+BW301/100)</f>
        <v>4723051.9874999998</v>
      </c>
      <c r="N301" s="31">
        <v>0.40300000000000002</v>
      </c>
      <c r="O301" s="31">
        <f>G301*N301</f>
        <v>370.12930499999999</v>
      </c>
      <c r="P301" s="33" t="s">
        <v>56</v>
      </c>
      <c r="Z301" s="31">
        <f>IF(AQ301="5",BJ301,0)</f>
        <v>0</v>
      </c>
      <c r="AB301" s="31">
        <f>IF(AQ301="1",BH301,0)</f>
        <v>3903348.75</v>
      </c>
      <c r="AC301" s="31">
        <f>IF(AQ301="1",BI301,0)</f>
        <v>0</v>
      </c>
      <c r="AD301" s="31">
        <f>IF(AQ301="7",BH301,0)</f>
        <v>0</v>
      </c>
      <c r="AE301" s="31">
        <f>IF(AQ301="7",BI301,0)</f>
        <v>0</v>
      </c>
      <c r="AF301" s="31">
        <f>IF(AQ301="2",BH301,0)</f>
        <v>0</v>
      </c>
      <c r="AG301" s="31">
        <f>IF(AQ301="2",BI301,0)</f>
        <v>0</v>
      </c>
      <c r="AH301" s="31">
        <f>IF(AQ301="0",BJ301,0)</f>
        <v>0</v>
      </c>
      <c r="AI301" s="12" t="s">
        <v>56</v>
      </c>
      <c r="AJ301" s="31">
        <f>IF(AN301=0,L301,0)</f>
        <v>0</v>
      </c>
      <c r="AK301" s="31">
        <f>IF(AN301=12,L301,0)</f>
        <v>0</v>
      </c>
      <c r="AL301" s="31">
        <f>IF(AN301=21,L301,0)</f>
        <v>3903348.75</v>
      </c>
      <c r="AN301" s="31">
        <v>21</v>
      </c>
      <c r="AO301" s="31">
        <f>H301*1</f>
        <v>4250</v>
      </c>
      <c r="AP301" s="31">
        <f>H301*(1-1)</f>
        <v>0</v>
      </c>
      <c r="AQ301" s="32" t="s">
        <v>59</v>
      </c>
      <c r="AV301" s="31">
        <f>AW301+AX301</f>
        <v>3903348.75</v>
      </c>
      <c r="AW301" s="31">
        <f>G301*AO301</f>
        <v>3903348.75</v>
      </c>
      <c r="AX301" s="31">
        <f>G301*AP301</f>
        <v>0</v>
      </c>
      <c r="AY301" s="32" t="s">
        <v>469</v>
      </c>
      <c r="AZ301" s="32" t="s">
        <v>404</v>
      </c>
      <c r="BA301" s="12" t="s">
        <v>65</v>
      </c>
      <c r="BC301" s="31">
        <f>AW301+AX301</f>
        <v>3903348.75</v>
      </c>
      <c r="BD301" s="31">
        <f>H301/(100-BE301)*100</f>
        <v>4250</v>
      </c>
      <c r="BE301" s="31">
        <v>0</v>
      </c>
      <c r="BF301" s="31">
        <f>O301</f>
        <v>370.12930499999999</v>
      </c>
      <c r="BH301" s="31">
        <f>G301*AO301</f>
        <v>3903348.75</v>
      </c>
      <c r="BI301" s="31">
        <f>G301*AP301</f>
        <v>0</v>
      </c>
      <c r="BJ301" s="31">
        <f>G301*H301</f>
        <v>3903348.75</v>
      </c>
      <c r="BK301" s="31"/>
      <c r="BL301" s="31">
        <v>87</v>
      </c>
      <c r="BW301" s="31" t="str">
        <f>I301</f>
        <v>21</v>
      </c>
      <c r="BX301" s="4" t="s">
        <v>492</v>
      </c>
    </row>
    <row r="302" spans="1:76">
      <c r="A302" s="34"/>
      <c r="D302" s="35" t="s">
        <v>493</v>
      </c>
      <c r="E302" s="35" t="s">
        <v>56</v>
      </c>
      <c r="G302" s="36">
        <v>918.43499999999995</v>
      </c>
      <c r="P302" s="37"/>
    </row>
    <row r="303" spans="1:76">
      <c r="A303" s="34"/>
      <c r="D303" s="35" t="s">
        <v>390</v>
      </c>
      <c r="E303" s="35" t="s">
        <v>56</v>
      </c>
      <c r="G303" s="36">
        <v>0</v>
      </c>
      <c r="P303" s="37"/>
    </row>
    <row r="304" spans="1:76">
      <c r="A304" s="2" t="s">
        <v>494</v>
      </c>
      <c r="B304" s="3" t="s">
        <v>56</v>
      </c>
      <c r="C304" s="3" t="s">
        <v>495</v>
      </c>
      <c r="D304" s="74" t="s">
        <v>496</v>
      </c>
      <c r="E304" s="75"/>
      <c r="F304" s="3" t="s">
        <v>84</v>
      </c>
      <c r="G304" s="31">
        <v>982.08</v>
      </c>
      <c r="H304" s="31">
        <v>4.8499999999999996</v>
      </c>
      <c r="I304" s="32" t="s">
        <v>63</v>
      </c>
      <c r="J304" s="31">
        <f>G304*AO304</f>
        <v>0</v>
      </c>
      <c r="K304" s="31">
        <f>G304*AP304</f>
        <v>4763.0879999999997</v>
      </c>
      <c r="L304" s="31">
        <f>G304*H304</f>
        <v>4763.0879999999997</v>
      </c>
      <c r="M304" s="31">
        <f>L304*(1+BW304/100)</f>
        <v>5763.3364799999999</v>
      </c>
      <c r="N304" s="31">
        <v>0</v>
      </c>
      <c r="O304" s="31">
        <f>G304*N304</f>
        <v>0</v>
      </c>
      <c r="P304" s="33" t="s">
        <v>85</v>
      </c>
      <c r="Z304" s="31">
        <f>IF(AQ304="5",BJ304,0)</f>
        <v>0</v>
      </c>
      <c r="AB304" s="31">
        <f>IF(AQ304="1",BH304,0)</f>
        <v>0</v>
      </c>
      <c r="AC304" s="31">
        <f>IF(AQ304="1",BI304,0)</f>
        <v>4763.0879999999997</v>
      </c>
      <c r="AD304" s="31">
        <f>IF(AQ304="7",BH304,0)</f>
        <v>0</v>
      </c>
      <c r="AE304" s="31">
        <f>IF(AQ304="7",BI304,0)</f>
        <v>0</v>
      </c>
      <c r="AF304" s="31">
        <f>IF(AQ304="2",BH304,0)</f>
        <v>0</v>
      </c>
      <c r="AG304" s="31">
        <f>IF(AQ304="2",BI304,0)</f>
        <v>0</v>
      </c>
      <c r="AH304" s="31">
        <f>IF(AQ304="0",BJ304,0)</f>
        <v>0</v>
      </c>
      <c r="AI304" s="12" t="s">
        <v>56</v>
      </c>
      <c r="AJ304" s="31">
        <f>IF(AN304=0,L304,0)</f>
        <v>0</v>
      </c>
      <c r="AK304" s="31">
        <f>IF(AN304=12,L304,0)</f>
        <v>0</v>
      </c>
      <c r="AL304" s="31">
        <f>IF(AN304=21,L304,0)</f>
        <v>4763.0879999999997</v>
      </c>
      <c r="AN304" s="31">
        <v>21</v>
      </c>
      <c r="AO304" s="31">
        <f>H304*0</f>
        <v>0</v>
      </c>
      <c r="AP304" s="31">
        <f>H304*(1-0)</f>
        <v>4.8499999999999996</v>
      </c>
      <c r="AQ304" s="32" t="s">
        <v>59</v>
      </c>
      <c r="AV304" s="31">
        <f>AW304+AX304</f>
        <v>4763.0879999999997</v>
      </c>
      <c r="AW304" s="31">
        <f>G304*AO304</f>
        <v>0</v>
      </c>
      <c r="AX304" s="31">
        <f>G304*AP304</f>
        <v>4763.0879999999997</v>
      </c>
      <c r="AY304" s="32" t="s">
        <v>469</v>
      </c>
      <c r="AZ304" s="32" t="s">
        <v>404</v>
      </c>
      <c r="BA304" s="12" t="s">
        <v>65</v>
      </c>
      <c r="BC304" s="31">
        <f>AW304+AX304</f>
        <v>4763.0879999999997</v>
      </c>
      <c r="BD304" s="31">
        <f>H304/(100-BE304)*100</f>
        <v>4.8499999999999996</v>
      </c>
      <c r="BE304" s="31">
        <v>0</v>
      </c>
      <c r="BF304" s="31">
        <f>O304</f>
        <v>0</v>
      </c>
      <c r="BH304" s="31">
        <f>G304*AO304</f>
        <v>0</v>
      </c>
      <c r="BI304" s="31">
        <f>G304*AP304</f>
        <v>4763.0879999999997</v>
      </c>
      <c r="BJ304" s="31">
        <f>G304*H304</f>
        <v>4763.0879999999997</v>
      </c>
      <c r="BK304" s="31"/>
      <c r="BL304" s="31">
        <v>87</v>
      </c>
      <c r="BW304" s="31" t="str">
        <f>I304</f>
        <v>21</v>
      </c>
      <c r="BX304" s="4" t="s">
        <v>496</v>
      </c>
    </row>
    <row r="305" spans="1:76">
      <c r="A305" s="34"/>
      <c r="D305" s="35" t="s">
        <v>497</v>
      </c>
      <c r="E305" s="35" t="s">
        <v>56</v>
      </c>
      <c r="G305" s="36">
        <v>982.08</v>
      </c>
      <c r="P305" s="37"/>
    </row>
    <row r="306" spans="1:76">
      <c r="A306" s="34"/>
      <c r="D306" s="35" t="s">
        <v>498</v>
      </c>
      <c r="E306" s="35" t="s">
        <v>56</v>
      </c>
      <c r="G306" s="36">
        <v>0</v>
      </c>
      <c r="P306" s="37"/>
    </row>
    <row r="307" spans="1:76">
      <c r="A307" s="2" t="s">
        <v>499</v>
      </c>
      <c r="B307" s="3" t="s">
        <v>56</v>
      </c>
      <c r="C307" s="3" t="s">
        <v>500</v>
      </c>
      <c r="D307" s="74" t="s">
        <v>501</v>
      </c>
      <c r="E307" s="75"/>
      <c r="F307" s="3" t="s">
        <v>84</v>
      </c>
      <c r="G307" s="31">
        <v>1031.184</v>
      </c>
      <c r="H307" s="31">
        <v>28.1</v>
      </c>
      <c r="I307" s="32" t="s">
        <v>63</v>
      </c>
      <c r="J307" s="31">
        <f>G307*AO307</f>
        <v>28976.270400000001</v>
      </c>
      <c r="K307" s="31">
        <f>G307*AP307</f>
        <v>0</v>
      </c>
      <c r="L307" s="31">
        <f>G307*H307</f>
        <v>28976.270400000001</v>
      </c>
      <c r="M307" s="31">
        <f>L307*(1+BW307/100)</f>
        <v>35061.287184000001</v>
      </c>
      <c r="N307" s="31">
        <v>2.3000000000000001E-4</v>
      </c>
      <c r="O307" s="31">
        <f>G307*N307</f>
        <v>0.23717231999999999</v>
      </c>
      <c r="P307" s="33" t="s">
        <v>85</v>
      </c>
      <c r="Z307" s="31">
        <f>IF(AQ307="5",BJ307,0)</f>
        <v>0</v>
      </c>
      <c r="AB307" s="31">
        <f>IF(AQ307="1",BH307,0)</f>
        <v>28976.270400000001</v>
      </c>
      <c r="AC307" s="31">
        <f>IF(AQ307="1",BI307,0)</f>
        <v>0</v>
      </c>
      <c r="AD307" s="31">
        <f>IF(AQ307="7",BH307,0)</f>
        <v>0</v>
      </c>
      <c r="AE307" s="31">
        <f>IF(AQ307="7",BI307,0)</f>
        <v>0</v>
      </c>
      <c r="AF307" s="31">
        <f>IF(AQ307="2",BH307,0)</f>
        <v>0</v>
      </c>
      <c r="AG307" s="31">
        <f>IF(AQ307="2",BI307,0)</f>
        <v>0</v>
      </c>
      <c r="AH307" s="31">
        <f>IF(AQ307="0",BJ307,0)</f>
        <v>0</v>
      </c>
      <c r="AI307" s="12" t="s">
        <v>56</v>
      </c>
      <c r="AJ307" s="31">
        <f>IF(AN307=0,L307,0)</f>
        <v>0</v>
      </c>
      <c r="AK307" s="31">
        <f>IF(AN307=12,L307,0)</f>
        <v>0</v>
      </c>
      <c r="AL307" s="31">
        <f>IF(AN307=21,L307,0)</f>
        <v>28976.270400000001</v>
      </c>
      <c r="AN307" s="31">
        <v>21</v>
      </c>
      <c r="AO307" s="31">
        <f>H307*1</f>
        <v>28.1</v>
      </c>
      <c r="AP307" s="31">
        <f>H307*(1-1)</f>
        <v>0</v>
      </c>
      <c r="AQ307" s="32" t="s">
        <v>59</v>
      </c>
      <c r="AV307" s="31">
        <f>AW307+AX307</f>
        <v>28976.270400000001</v>
      </c>
      <c r="AW307" s="31">
        <f>G307*AO307</f>
        <v>28976.270400000001</v>
      </c>
      <c r="AX307" s="31">
        <f>G307*AP307</f>
        <v>0</v>
      </c>
      <c r="AY307" s="32" t="s">
        <v>469</v>
      </c>
      <c r="AZ307" s="32" t="s">
        <v>404</v>
      </c>
      <c r="BA307" s="12" t="s">
        <v>65</v>
      </c>
      <c r="BC307" s="31">
        <f>AW307+AX307</f>
        <v>28976.270400000001</v>
      </c>
      <c r="BD307" s="31">
        <f>H307/(100-BE307)*100</f>
        <v>28.1</v>
      </c>
      <c r="BE307" s="31">
        <v>0</v>
      </c>
      <c r="BF307" s="31">
        <f>O307</f>
        <v>0.23717231999999999</v>
      </c>
      <c r="BH307" s="31">
        <f>G307*AO307</f>
        <v>28976.270400000001</v>
      </c>
      <c r="BI307" s="31">
        <f>G307*AP307</f>
        <v>0</v>
      </c>
      <c r="BJ307" s="31">
        <f>G307*H307</f>
        <v>28976.270400000001</v>
      </c>
      <c r="BK307" s="31"/>
      <c r="BL307" s="31">
        <v>87</v>
      </c>
      <c r="BW307" s="31" t="str">
        <f>I307</f>
        <v>21</v>
      </c>
      <c r="BX307" s="4" t="s">
        <v>501</v>
      </c>
    </row>
    <row r="308" spans="1:76">
      <c r="A308" s="34"/>
      <c r="D308" s="35" t="s">
        <v>502</v>
      </c>
      <c r="E308" s="35" t="s">
        <v>56</v>
      </c>
      <c r="G308" s="36">
        <v>1031.184</v>
      </c>
      <c r="P308" s="37"/>
    </row>
    <row r="309" spans="1:76">
      <c r="A309" s="34"/>
      <c r="D309" s="35" t="s">
        <v>498</v>
      </c>
      <c r="E309" s="35" t="s">
        <v>56</v>
      </c>
      <c r="G309" s="36">
        <v>0</v>
      </c>
      <c r="P309" s="37"/>
    </row>
    <row r="310" spans="1:76">
      <c r="A310" s="2" t="s">
        <v>503</v>
      </c>
      <c r="B310" s="3" t="s">
        <v>56</v>
      </c>
      <c r="C310" s="3" t="s">
        <v>504</v>
      </c>
      <c r="D310" s="74" t="s">
        <v>505</v>
      </c>
      <c r="E310" s="75"/>
      <c r="F310" s="3" t="s">
        <v>84</v>
      </c>
      <c r="G310" s="31">
        <v>1031.184</v>
      </c>
      <c r="H310" s="31">
        <v>50</v>
      </c>
      <c r="I310" s="32" t="s">
        <v>63</v>
      </c>
      <c r="J310" s="31">
        <f>G310*AO310</f>
        <v>51559.199999999997</v>
      </c>
      <c r="K310" s="31">
        <f>G310*AP310</f>
        <v>0</v>
      </c>
      <c r="L310" s="31">
        <f>G310*H310</f>
        <v>51559.199999999997</v>
      </c>
      <c r="M310" s="31">
        <f>L310*(1+BW310/100)</f>
        <v>62386.631999999998</v>
      </c>
      <c r="N310" s="31">
        <v>1E-4</v>
      </c>
      <c r="O310" s="31">
        <f>G310*N310</f>
        <v>0.1031184</v>
      </c>
      <c r="P310" s="33" t="s">
        <v>56</v>
      </c>
      <c r="Z310" s="31">
        <f>IF(AQ310="5",BJ310,0)</f>
        <v>0</v>
      </c>
      <c r="AB310" s="31">
        <f>IF(AQ310="1",BH310,0)</f>
        <v>51559.199999999997</v>
      </c>
      <c r="AC310" s="31">
        <f>IF(AQ310="1",BI310,0)</f>
        <v>0</v>
      </c>
      <c r="AD310" s="31">
        <f>IF(AQ310="7",BH310,0)</f>
        <v>0</v>
      </c>
      <c r="AE310" s="31">
        <f>IF(AQ310="7",BI310,0)</f>
        <v>0</v>
      </c>
      <c r="AF310" s="31">
        <f>IF(AQ310="2",BH310,0)</f>
        <v>0</v>
      </c>
      <c r="AG310" s="31">
        <f>IF(AQ310="2",BI310,0)</f>
        <v>0</v>
      </c>
      <c r="AH310" s="31">
        <f>IF(AQ310="0",BJ310,0)</f>
        <v>0</v>
      </c>
      <c r="AI310" s="12" t="s">
        <v>56</v>
      </c>
      <c r="AJ310" s="31">
        <f>IF(AN310=0,L310,0)</f>
        <v>0</v>
      </c>
      <c r="AK310" s="31">
        <f>IF(AN310=12,L310,0)</f>
        <v>0</v>
      </c>
      <c r="AL310" s="31">
        <f>IF(AN310=21,L310,0)</f>
        <v>51559.199999999997</v>
      </c>
      <c r="AN310" s="31">
        <v>21</v>
      </c>
      <c r="AO310" s="31">
        <f>H310*1</f>
        <v>50</v>
      </c>
      <c r="AP310" s="31">
        <f>H310*(1-1)</f>
        <v>0</v>
      </c>
      <c r="AQ310" s="32" t="s">
        <v>59</v>
      </c>
      <c r="AV310" s="31">
        <f>AW310+AX310</f>
        <v>51559.199999999997</v>
      </c>
      <c r="AW310" s="31">
        <f>G310*AO310</f>
        <v>51559.199999999997</v>
      </c>
      <c r="AX310" s="31">
        <f>G310*AP310</f>
        <v>0</v>
      </c>
      <c r="AY310" s="32" t="s">
        <v>469</v>
      </c>
      <c r="AZ310" s="32" t="s">
        <v>404</v>
      </c>
      <c r="BA310" s="12" t="s">
        <v>65</v>
      </c>
      <c r="BC310" s="31">
        <f>AW310+AX310</f>
        <v>51559.199999999997</v>
      </c>
      <c r="BD310" s="31">
        <f>H310/(100-BE310)*100</f>
        <v>50</v>
      </c>
      <c r="BE310" s="31">
        <v>0</v>
      </c>
      <c r="BF310" s="31">
        <f>O310</f>
        <v>0.1031184</v>
      </c>
      <c r="BH310" s="31">
        <f>G310*AO310</f>
        <v>51559.199999999997</v>
      </c>
      <c r="BI310" s="31">
        <f>G310*AP310</f>
        <v>0</v>
      </c>
      <c r="BJ310" s="31">
        <f>G310*H310</f>
        <v>51559.199999999997</v>
      </c>
      <c r="BK310" s="31"/>
      <c r="BL310" s="31">
        <v>87</v>
      </c>
      <c r="BW310" s="31" t="str">
        <f>I310</f>
        <v>21</v>
      </c>
      <c r="BX310" s="4" t="s">
        <v>505</v>
      </c>
    </row>
    <row r="311" spans="1:76">
      <c r="A311" s="34"/>
      <c r="D311" s="35" t="s">
        <v>502</v>
      </c>
      <c r="E311" s="35" t="s">
        <v>56</v>
      </c>
      <c r="G311" s="36">
        <v>1031.184</v>
      </c>
      <c r="P311" s="37"/>
    </row>
    <row r="312" spans="1:76">
      <c r="A312" s="34"/>
      <c r="D312" s="35" t="s">
        <v>498</v>
      </c>
      <c r="E312" s="35" t="s">
        <v>56</v>
      </c>
      <c r="G312" s="36">
        <v>0</v>
      </c>
      <c r="P312" s="37"/>
    </row>
    <row r="313" spans="1:76">
      <c r="A313" s="2" t="s">
        <v>398</v>
      </c>
      <c r="B313" s="3" t="s">
        <v>56</v>
      </c>
      <c r="C313" s="3" t="s">
        <v>506</v>
      </c>
      <c r="D313" s="74" t="s">
        <v>507</v>
      </c>
      <c r="E313" s="75"/>
      <c r="F313" s="3" t="s">
        <v>84</v>
      </c>
      <c r="G313" s="31">
        <v>2278.6995000000002</v>
      </c>
      <c r="H313" s="31">
        <v>18.2</v>
      </c>
      <c r="I313" s="32" t="s">
        <v>63</v>
      </c>
      <c r="J313" s="31">
        <f>G313*AO313</f>
        <v>14629.251090788335</v>
      </c>
      <c r="K313" s="31">
        <f>G313*AP313</f>
        <v>26843.079809211667</v>
      </c>
      <c r="L313" s="31">
        <f>G313*H313</f>
        <v>41472.330900000001</v>
      </c>
      <c r="M313" s="31">
        <f>L313*(1+BW313/100)</f>
        <v>50181.520388999998</v>
      </c>
      <c r="N313" s="31">
        <v>0</v>
      </c>
      <c r="O313" s="31">
        <f>G313*N313</f>
        <v>0</v>
      </c>
      <c r="P313" s="33" t="s">
        <v>85</v>
      </c>
      <c r="Z313" s="31">
        <f>IF(AQ313="5",BJ313,0)</f>
        <v>0</v>
      </c>
      <c r="AB313" s="31">
        <f>IF(AQ313="1",BH313,0)</f>
        <v>14629.251090788335</v>
      </c>
      <c r="AC313" s="31">
        <f>IF(AQ313="1",BI313,0)</f>
        <v>26843.079809211667</v>
      </c>
      <c r="AD313" s="31">
        <f>IF(AQ313="7",BH313,0)</f>
        <v>0</v>
      </c>
      <c r="AE313" s="31">
        <f>IF(AQ313="7",BI313,0)</f>
        <v>0</v>
      </c>
      <c r="AF313" s="31">
        <f>IF(AQ313="2",BH313,0)</f>
        <v>0</v>
      </c>
      <c r="AG313" s="31">
        <f>IF(AQ313="2",BI313,0)</f>
        <v>0</v>
      </c>
      <c r="AH313" s="31">
        <f>IF(AQ313="0",BJ313,0)</f>
        <v>0</v>
      </c>
      <c r="AI313" s="12" t="s">
        <v>56</v>
      </c>
      <c r="AJ313" s="31">
        <f>IF(AN313=0,L313,0)</f>
        <v>0</v>
      </c>
      <c r="AK313" s="31">
        <f>IF(AN313=12,L313,0)</f>
        <v>0</v>
      </c>
      <c r="AL313" s="31">
        <f>IF(AN313=21,L313,0)</f>
        <v>41472.330900000001</v>
      </c>
      <c r="AN313" s="31">
        <v>21</v>
      </c>
      <c r="AO313" s="31">
        <f>H313*0.35274726</f>
        <v>6.4200001320000002</v>
      </c>
      <c r="AP313" s="31">
        <f>H313*(1-0.35274726)</f>
        <v>11.779999867999999</v>
      </c>
      <c r="AQ313" s="32" t="s">
        <v>59</v>
      </c>
      <c r="AV313" s="31">
        <f>AW313+AX313</f>
        <v>41472.330900000001</v>
      </c>
      <c r="AW313" s="31">
        <f>G313*AO313</f>
        <v>14629.251090788335</v>
      </c>
      <c r="AX313" s="31">
        <f>G313*AP313</f>
        <v>26843.079809211667</v>
      </c>
      <c r="AY313" s="32" t="s">
        <v>469</v>
      </c>
      <c r="AZ313" s="32" t="s">
        <v>404</v>
      </c>
      <c r="BA313" s="12" t="s">
        <v>65</v>
      </c>
      <c r="BC313" s="31">
        <f>AW313+AX313</f>
        <v>41472.330900000001</v>
      </c>
      <c r="BD313" s="31">
        <f>H313/(100-BE313)*100</f>
        <v>18.2</v>
      </c>
      <c r="BE313" s="31">
        <v>0</v>
      </c>
      <c r="BF313" s="31">
        <f>O313</f>
        <v>0</v>
      </c>
      <c r="BH313" s="31">
        <f>G313*AO313</f>
        <v>14629.251090788335</v>
      </c>
      <c r="BI313" s="31">
        <f>G313*AP313</f>
        <v>26843.079809211667</v>
      </c>
      <c r="BJ313" s="31">
        <f>G313*H313</f>
        <v>41472.330900000001</v>
      </c>
      <c r="BK313" s="31"/>
      <c r="BL313" s="31">
        <v>87</v>
      </c>
      <c r="BW313" s="31" t="str">
        <f>I313</f>
        <v>21</v>
      </c>
      <c r="BX313" s="4" t="s">
        <v>507</v>
      </c>
    </row>
    <row r="314" spans="1:76">
      <c r="A314" s="34"/>
      <c r="D314" s="35" t="s">
        <v>508</v>
      </c>
      <c r="E314" s="35" t="s">
        <v>56</v>
      </c>
      <c r="G314" s="36">
        <v>367.15</v>
      </c>
      <c r="P314" s="37"/>
    </row>
    <row r="315" spans="1:76">
      <c r="A315" s="34"/>
      <c r="D315" s="35" t="s">
        <v>509</v>
      </c>
      <c r="E315" s="35" t="s">
        <v>56</v>
      </c>
      <c r="G315" s="36">
        <v>83.5</v>
      </c>
      <c r="P315" s="37"/>
    </row>
    <row r="316" spans="1:76">
      <c r="A316" s="34"/>
      <c r="D316" s="35" t="s">
        <v>510</v>
      </c>
      <c r="E316" s="35" t="s">
        <v>56</v>
      </c>
      <c r="G316" s="36">
        <v>1719.54</v>
      </c>
      <c r="P316" s="37"/>
    </row>
    <row r="317" spans="1:76">
      <c r="A317" s="34"/>
      <c r="D317" s="35" t="s">
        <v>511</v>
      </c>
      <c r="E317" s="35" t="s">
        <v>56</v>
      </c>
      <c r="G317" s="36">
        <v>108.5095</v>
      </c>
      <c r="P317" s="37"/>
    </row>
    <row r="318" spans="1:76">
      <c r="A318" s="2" t="s">
        <v>512</v>
      </c>
      <c r="B318" s="3" t="s">
        <v>56</v>
      </c>
      <c r="C318" s="3" t="s">
        <v>513</v>
      </c>
      <c r="D318" s="74" t="s">
        <v>514</v>
      </c>
      <c r="E318" s="75"/>
      <c r="F318" s="3" t="s">
        <v>84</v>
      </c>
      <c r="G318" s="31">
        <v>5</v>
      </c>
      <c r="H318" s="31">
        <v>1000</v>
      </c>
      <c r="I318" s="32" t="s">
        <v>63</v>
      </c>
      <c r="J318" s="31">
        <f>G318*AO318</f>
        <v>3000</v>
      </c>
      <c r="K318" s="31">
        <f>G318*AP318</f>
        <v>2000</v>
      </c>
      <c r="L318" s="31">
        <f>G318*H318</f>
        <v>5000</v>
      </c>
      <c r="M318" s="31">
        <f>L318*(1+BW318/100)</f>
        <v>6050</v>
      </c>
      <c r="N318" s="31">
        <v>0</v>
      </c>
      <c r="O318" s="31">
        <f>G318*N318</f>
        <v>0</v>
      </c>
      <c r="P318" s="33" t="s">
        <v>56</v>
      </c>
      <c r="Z318" s="31">
        <f>IF(AQ318="5",BJ318,0)</f>
        <v>0</v>
      </c>
      <c r="AB318" s="31">
        <f>IF(AQ318="1",BH318,0)</f>
        <v>3000</v>
      </c>
      <c r="AC318" s="31">
        <f>IF(AQ318="1",BI318,0)</f>
        <v>2000</v>
      </c>
      <c r="AD318" s="31">
        <f>IF(AQ318="7",BH318,0)</f>
        <v>0</v>
      </c>
      <c r="AE318" s="31">
        <f>IF(AQ318="7",BI318,0)</f>
        <v>0</v>
      </c>
      <c r="AF318" s="31">
        <f>IF(AQ318="2",BH318,0)</f>
        <v>0</v>
      </c>
      <c r="AG318" s="31">
        <f>IF(AQ318="2",BI318,0)</f>
        <v>0</v>
      </c>
      <c r="AH318" s="31">
        <f>IF(AQ318="0",BJ318,0)</f>
        <v>0</v>
      </c>
      <c r="AI318" s="12" t="s">
        <v>56</v>
      </c>
      <c r="AJ318" s="31">
        <f>IF(AN318=0,L318,0)</f>
        <v>0</v>
      </c>
      <c r="AK318" s="31">
        <f>IF(AN318=12,L318,0)</f>
        <v>0</v>
      </c>
      <c r="AL318" s="31">
        <f>IF(AN318=21,L318,0)</f>
        <v>5000</v>
      </c>
      <c r="AN318" s="31">
        <v>21</v>
      </c>
      <c r="AO318" s="31">
        <f>H318*0.6</f>
        <v>600</v>
      </c>
      <c r="AP318" s="31">
        <f>H318*(1-0.6)</f>
        <v>400</v>
      </c>
      <c r="AQ318" s="32" t="s">
        <v>59</v>
      </c>
      <c r="AV318" s="31">
        <f>AW318+AX318</f>
        <v>5000</v>
      </c>
      <c r="AW318" s="31">
        <f>G318*AO318</f>
        <v>3000</v>
      </c>
      <c r="AX318" s="31">
        <f>G318*AP318</f>
        <v>2000</v>
      </c>
      <c r="AY318" s="32" t="s">
        <v>469</v>
      </c>
      <c r="AZ318" s="32" t="s">
        <v>404</v>
      </c>
      <c r="BA318" s="12" t="s">
        <v>65</v>
      </c>
      <c r="BC318" s="31">
        <f>AW318+AX318</f>
        <v>5000</v>
      </c>
      <c r="BD318" s="31">
        <f>H318/(100-BE318)*100</f>
        <v>1000</v>
      </c>
      <c r="BE318" s="31">
        <v>0</v>
      </c>
      <c r="BF318" s="31">
        <f>O318</f>
        <v>0</v>
      </c>
      <c r="BH318" s="31">
        <f>G318*AO318</f>
        <v>3000</v>
      </c>
      <c r="BI318" s="31">
        <f>G318*AP318</f>
        <v>2000</v>
      </c>
      <c r="BJ318" s="31">
        <f>G318*H318</f>
        <v>5000</v>
      </c>
      <c r="BK318" s="31"/>
      <c r="BL318" s="31">
        <v>87</v>
      </c>
      <c r="BW318" s="31" t="str">
        <f>I318</f>
        <v>21</v>
      </c>
      <c r="BX318" s="4" t="s">
        <v>514</v>
      </c>
    </row>
    <row r="319" spans="1:76">
      <c r="A319" s="34"/>
      <c r="D319" s="35" t="s">
        <v>515</v>
      </c>
      <c r="E319" s="35" t="s">
        <v>56</v>
      </c>
      <c r="G319" s="36">
        <v>5</v>
      </c>
      <c r="P319" s="37"/>
    </row>
    <row r="320" spans="1:76">
      <c r="A320" s="38" t="s">
        <v>56</v>
      </c>
      <c r="B320" s="39" t="s">
        <v>56</v>
      </c>
      <c r="C320" s="39" t="s">
        <v>516</v>
      </c>
      <c r="D320" s="76" t="s">
        <v>517</v>
      </c>
      <c r="E320" s="77"/>
      <c r="F320" s="40" t="s">
        <v>4</v>
      </c>
      <c r="G320" s="40" t="s">
        <v>4</v>
      </c>
      <c r="H320" s="40" t="s">
        <v>4</v>
      </c>
      <c r="I320" s="40" t="s">
        <v>4</v>
      </c>
      <c r="J320" s="1">
        <f>SUM(J321:J323)</f>
        <v>56405.764800000004</v>
      </c>
      <c r="K320" s="1">
        <f>SUM(K321:K323)</f>
        <v>95075.164800000013</v>
      </c>
      <c r="L320" s="1">
        <f>SUM(L321:L323)</f>
        <v>151480.92960000003</v>
      </c>
      <c r="M320" s="1">
        <f>SUM(M321:M323)</f>
        <v>183291.92481600001</v>
      </c>
      <c r="N320" s="12" t="s">
        <v>56</v>
      </c>
      <c r="O320" s="1">
        <f>SUM(O321:O323)</f>
        <v>0.49496832000000002</v>
      </c>
      <c r="P320" s="41" t="s">
        <v>56</v>
      </c>
      <c r="AI320" s="12" t="s">
        <v>56</v>
      </c>
      <c r="AS320" s="1">
        <f>SUM(AJ321:AJ323)</f>
        <v>0</v>
      </c>
      <c r="AT320" s="1">
        <f>SUM(AK321:AK323)</f>
        <v>0</v>
      </c>
      <c r="AU320" s="1">
        <f>SUM(AL321:AL323)</f>
        <v>151480.92960000003</v>
      </c>
    </row>
    <row r="321" spans="1:76">
      <c r="A321" s="2" t="s">
        <v>464</v>
      </c>
      <c r="B321" s="3" t="s">
        <v>56</v>
      </c>
      <c r="C321" s="3" t="s">
        <v>518</v>
      </c>
      <c r="D321" s="74" t="s">
        <v>519</v>
      </c>
      <c r="E321" s="75"/>
      <c r="F321" s="3" t="s">
        <v>84</v>
      </c>
      <c r="G321" s="31">
        <v>982.08</v>
      </c>
      <c r="H321" s="31">
        <v>96.81</v>
      </c>
      <c r="I321" s="32" t="s">
        <v>63</v>
      </c>
      <c r="J321" s="31">
        <f>G321*AO321</f>
        <v>0</v>
      </c>
      <c r="K321" s="31">
        <f>G321*AP321</f>
        <v>95075.164800000013</v>
      </c>
      <c r="L321" s="31">
        <f>G321*H321</f>
        <v>95075.164800000013</v>
      </c>
      <c r="M321" s="31">
        <f>L321*(1+BW321/100)</f>
        <v>115040.94940800001</v>
      </c>
      <c r="N321" s="31">
        <v>0</v>
      </c>
      <c r="O321" s="31">
        <f>G321*N321</f>
        <v>0</v>
      </c>
      <c r="P321" s="33" t="s">
        <v>85</v>
      </c>
      <c r="Z321" s="31">
        <f>IF(AQ321="5",BJ321,0)</f>
        <v>0</v>
      </c>
      <c r="AB321" s="31">
        <f>IF(AQ321="1",BH321,0)</f>
        <v>0</v>
      </c>
      <c r="AC321" s="31">
        <f>IF(AQ321="1",BI321,0)</f>
        <v>95075.164800000013</v>
      </c>
      <c r="AD321" s="31">
        <f>IF(AQ321="7",BH321,0)</f>
        <v>0</v>
      </c>
      <c r="AE321" s="31">
        <f>IF(AQ321="7",BI321,0)</f>
        <v>0</v>
      </c>
      <c r="AF321" s="31">
        <f>IF(AQ321="2",BH321,0)</f>
        <v>0</v>
      </c>
      <c r="AG321" s="31">
        <f>IF(AQ321="2",BI321,0)</f>
        <v>0</v>
      </c>
      <c r="AH321" s="31">
        <f>IF(AQ321="0",BJ321,0)</f>
        <v>0</v>
      </c>
      <c r="AI321" s="12" t="s">
        <v>56</v>
      </c>
      <c r="AJ321" s="31">
        <f>IF(AN321=0,L321,0)</f>
        <v>0</v>
      </c>
      <c r="AK321" s="31">
        <f>IF(AN321=12,L321,0)</f>
        <v>0</v>
      </c>
      <c r="AL321" s="31">
        <f>IF(AN321=21,L321,0)</f>
        <v>95075.164800000013</v>
      </c>
      <c r="AN321" s="31">
        <v>21</v>
      </c>
      <c r="AO321" s="31">
        <f>H321*0</f>
        <v>0</v>
      </c>
      <c r="AP321" s="31">
        <f>H321*(1-0)</f>
        <v>96.81</v>
      </c>
      <c r="AQ321" s="32" t="s">
        <v>59</v>
      </c>
      <c r="AV321" s="31">
        <f>AW321+AX321</f>
        <v>95075.164800000013</v>
      </c>
      <c r="AW321" s="31">
        <f>G321*AO321</f>
        <v>0</v>
      </c>
      <c r="AX321" s="31">
        <f>G321*AP321</f>
        <v>95075.164800000013</v>
      </c>
      <c r="AY321" s="32" t="s">
        <v>520</v>
      </c>
      <c r="AZ321" s="32" t="s">
        <v>404</v>
      </c>
      <c r="BA321" s="12" t="s">
        <v>65</v>
      </c>
      <c r="BC321" s="31">
        <f>AW321+AX321</f>
        <v>95075.164800000013</v>
      </c>
      <c r="BD321" s="31">
        <f>H321/(100-BE321)*100</f>
        <v>96.81</v>
      </c>
      <c r="BE321" s="31">
        <v>0</v>
      </c>
      <c r="BF321" s="31">
        <f>O321</f>
        <v>0</v>
      </c>
      <c r="BH321" s="31">
        <f>G321*AO321</f>
        <v>0</v>
      </c>
      <c r="BI321" s="31">
        <f>G321*AP321</f>
        <v>95075.164800000013</v>
      </c>
      <c r="BJ321" s="31">
        <f>G321*H321</f>
        <v>95075.164800000013</v>
      </c>
      <c r="BK321" s="31"/>
      <c r="BL321" s="31">
        <v>88</v>
      </c>
      <c r="BW321" s="31" t="str">
        <f>I321</f>
        <v>21</v>
      </c>
      <c r="BX321" s="4" t="s">
        <v>519</v>
      </c>
    </row>
    <row r="322" spans="1:76">
      <c r="A322" s="34"/>
      <c r="D322" s="35" t="s">
        <v>521</v>
      </c>
      <c r="E322" s="35" t="s">
        <v>56</v>
      </c>
      <c r="G322" s="36">
        <v>982.08</v>
      </c>
      <c r="P322" s="37"/>
    </row>
    <row r="323" spans="1:76">
      <c r="A323" s="2" t="s">
        <v>516</v>
      </c>
      <c r="B323" s="3" t="s">
        <v>56</v>
      </c>
      <c r="C323" s="3" t="s">
        <v>522</v>
      </c>
      <c r="D323" s="74" t="s">
        <v>523</v>
      </c>
      <c r="E323" s="75"/>
      <c r="F323" s="3" t="s">
        <v>84</v>
      </c>
      <c r="G323" s="31">
        <v>1031.184</v>
      </c>
      <c r="H323" s="31">
        <v>54.7</v>
      </c>
      <c r="I323" s="32" t="s">
        <v>63</v>
      </c>
      <c r="J323" s="31">
        <f>G323*AO323</f>
        <v>56405.764800000004</v>
      </c>
      <c r="K323" s="31">
        <f>G323*AP323</f>
        <v>0</v>
      </c>
      <c r="L323" s="31">
        <f>G323*H323</f>
        <v>56405.764800000004</v>
      </c>
      <c r="M323" s="31">
        <f>L323*(1+BW323/100)</f>
        <v>68250.975407999998</v>
      </c>
      <c r="N323" s="31">
        <v>4.8000000000000001E-4</v>
      </c>
      <c r="O323" s="31">
        <f>G323*N323</f>
        <v>0.49496832000000002</v>
      </c>
      <c r="P323" s="33" t="s">
        <v>85</v>
      </c>
      <c r="Z323" s="31">
        <f>IF(AQ323="5",BJ323,0)</f>
        <v>0</v>
      </c>
      <c r="AB323" s="31">
        <f>IF(AQ323="1",BH323,0)</f>
        <v>56405.764800000004</v>
      </c>
      <c r="AC323" s="31">
        <f>IF(AQ323="1",BI323,0)</f>
        <v>0</v>
      </c>
      <c r="AD323" s="31">
        <f>IF(AQ323="7",BH323,0)</f>
        <v>0</v>
      </c>
      <c r="AE323" s="31">
        <f>IF(AQ323="7",BI323,0)</f>
        <v>0</v>
      </c>
      <c r="AF323" s="31">
        <f>IF(AQ323="2",BH323,0)</f>
        <v>0</v>
      </c>
      <c r="AG323" s="31">
        <f>IF(AQ323="2",BI323,0)</f>
        <v>0</v>
      </c>
      <c r="AH323" s="31">
        <f>IF(AQ323="0",BJ323,0)</f>
        <v>0</v>
      </c>
      <c r="AI323" s="12" t="s">
        <v>56</v>
      </c>
      <c r="AJ323" s="31">
        <f>IF(AN323=0,L323,0)</f>
        <v>0</v>
      </c>
      <c r="AK323" s="31">
        <f>IF(AN323=12,L323,0)</f>
        <v>0</v>
      </c>
      <c r="AL323" s="31">
        <f>IF(AN323=21,L323,0)</f>
        <v>56405.764800000004</v>
      </c>
      <c r="AN323" s="31">
        <v>21</v>
      </c>
      <c r="AO323" s="31">
        <f>H323*1</f>
        <v>54.7</v>
      </c>
      <c r="AP323" s="31">
        <f>H323*(1-1)</f>
        <v>0</v>
      </c>
      <c r="AQ323" s="32" t="s">
        <v>59</v>
      </c>
      <c r="AV323" s="31">
        <f>AW323+AX323</f>
        <v>56405.764800000004</v>
      </c>
      <c r="AW323" s="31">
        <f>G323*AO323</f>
        <v>56405.764800000004</v>
      </c>
      <c r="AX323" s="31">
        <f>G323*AP323</f>
        <v>0</v>
      </c>
      <c r="AY323" s="32" t="s">
        <v>520</v>
      </c>
      <c r="AZ323" s="32" t="s">
        <v>404</v>
      </c>
      <c r="BA323" s="12" t="s">
        <v>65</v>
      </c>
      <c r="BC323" s="31">
        <f>AW323+AX323</f>
        <v>56405.764800000004</v>
      </c>
      <c r="BD323" s="31">
        <f>H323/(100-BE323)*100</f>
        <v>54.7</v>
      </c>
      <c r="BE323" s="31">
        <v>0</v>
      </c>
      <c r="BF323" s="31">
        <f>O323</f>
        <v>0.49496832000000002</v>
      </c>
      <c r="BH323" s="31">
        <f>G323*AO323</f>
        <v>56405.764800000004</v>
      </c>
      <c r="BI323" s="31">
        <f>G323*AP323</f>
        <v>0</v>
      </c>
      <c r="BJ323" s="31">
        <f>G323*H323</f>
        <v>56405.764800000004</v>
      </c>
      <c r="BK323" s="31"/>
      <c r="BL323" s="31">
        <v>88</v>
      </c>
      <c r="BW323" s="31" t="str">
        <f>I323</f>
        <v>21</v>
      </c>
      <c r="BX323" s="4" t="s">
        <v>523</v>
      </c>
    </row>
    <row r="324" spans="1:76">
      <c r="A324" s="34"/>
      <c r="D324" s="35" t="s">
        <v>502</v>
      </c>
      <c r="E324" s="35" t="s">
        <v>56</v>
      </c>
      <c r="G324" s="36">
        <v>1031.184</v>
      </c>
      <c r="P324" s="37"/>
    </row>
    <row r="325" spans="1:76">
      <c r="A325" s="38" t="s">
        <v>56</v>
      </c>
      <c r="B325" s="39" t="s">
        <v>56</v>
      </c>
      <c r="C325" s="39" t="s">
        <v>524</v>
      </c>
      <c r="D325" s="76" t="s">
        <v>525</v>
      </c>
      <c r="E325" s="77"/>
      <c r="F325" s="40" t="s">
        <v>4</v>
      </c>
      <c r="G325" s="40" t="s">
        <v>4</v>
      </c>
      <c r="H325" s="40" t="s">
        <v>4</v>
      </c>
      <c r="I325" s="40" t="s">
        <v>4</v>
      </c>
      <c r="J325" s="1">
        <f>SUM(J326:J342)</f>
        <v>67966.381279767578</v>
      </c>
      <c r="K325" s="1">
        <f>SUM(K326:K342)</f>
        <v>69512.530720232418</v>
      </c>
      <c r="L325" s="1">
        <f>SUM(L326:L342)</f>
        <v>137478.91200000001</v>
      </c>
      <c r="M325" s="1">
        <f>SUM(M326:M342)</f>
        <v>166349.48352000001</v>
      </c>
      <c r="N325" s="12" t="s">
        <v>56</v>
      </c>
      <c r="O325" s="1">
        <f>SUM(O326:O342)</f>
        <v>1.4499999999999999E-3</v>
      </c>
      <c r="P325" s="41" t="s">
        <v>56</v>
      </c>
      <c r="AI325" s="12" t="s">
        <v>56</v>
      </c>
      <c r="AS325" s="1">
        <f>SUM(AJ326:AJ342)</f>
        <v>0</v>
      </c>
      <c r="AT325" s="1">
        <f>SUM(AK326:AK342)</f>
        <v>0</v>
      </c>
      <c r="AU325" s="1">
        <f>SUM(AL326:AL342)</f>
        <v>137478.91200000001</v>
      </c>
    </row>
    <row r="326" spans="1:76">
      <c r="A326" s="2" t="s">
        <v>524</v>
      </c>
      <c r="B326" s="3" t="s">
        <v>56</v>
      </c>
      <c r="C326" s="3" t="s">
        <v>526</v>
      </c>
      <c r="D326" s="74" t="s">
        <v>527</v>
      </c>
      <c r="E326" s="75"/>
      <c r="F326" s="3" t="s">
        <v>84</v>
      </c>
      <c r="G326" s="31">
        <v>573.17999999999995</v>
      </c>
      <c r="H326" s="31">
        <v>26.1</v>
      </c>
      <c r="I326" s="32" t="s">
        <v>63</v>
      </c>
      <c r="J326" s="31">
        <f>G326*AO326</f>
        <v>452.81213666361003</v>
      </c>
      <c r="K326" s="31">
        <f>G326*AP326</f>
        <v>14507.18586333639</v>
      </c>
      <c r="L326" s="31">
        <f>G326*H326</f>
        <v>14959.998</v>
      </c>
      <c r="M326" s="31">
        <f>L326*(1+BW326/100)</f>
        <v>18101.597579999998</v>
      </c>
      <c r="N326" s="31">
        <v>0</v>
      </c>
      <c r="O326" s="31">
        <f>G326*N326</f>
        <v>0</v>
      </c>
      <c r="P326" s="33" t="s">
        <v>85</v>
      </c>
      <c r="Z326" s="31">
        <f>IF(AQ326="5",BJ326,0)</f>
        <v>0</v>
      </c>
      <c r="AB326" s="31">
        <f>IF(AQ326="1",BH326,0)</f>
        <v>452.81213666361003</v>
      </c>
      <c r="AC326" s="31">
        <f>IF(AQ326="1",BI326,0)</f>
        <v>14507.18586333639</v>
      </c>
      <c r="AD326" s="31">
        <f>IF(AQ326="7",BH326,0)</f>
        <v>0</v>
      </c>
      <c r="AE326" s="31">
        <f>IF(AQ326="7",BI326,0)</f>
        <v>0</v>
      </c>
      <c r="AF326" s="31">
        <f>IF(AQ326="2",BH326,0)</f>
        <v>0</v>
      </c>
      <c r="AG326" s="31">
        <f>IF(AQ326="2",BI326,0)</f>
        <v>0</v>
      </c>
      <c r="AH326" s="31">
        <f>IF(AQ326="0",BJ326,0)</f>
        <v>0</v>
      </c>
      <c r="AI326" s="12" t="s">
        <v>56</v>
      </c>
      <c r="AJ326" s="31">
        <f>IF(AN326=0,L326,0)</f>
        <v>0</v>
      </c>
      <c r="AK326" s="31">
        <f>IF(AN326=12,L326,0)</f>
        <v>0</v>
      </c>
      <c r="AL326" s="31">
        <f>IF(AN326=21,L326,0)</f>
        <v>14959.998</v>
      </c>
      <c r="AN326" s="31">
        <v>21</v>
      </c>
      <c r="AO326" s="31">
        <f>H326*0.030268195</f>
        <v>0.78999988950000011</v>
      </c>
      <c r="AP326" s="31">
        <f>H326*(1-0.030268195)</f>
        <v>25.310000110500003</v>
      </c>
      <c r="AQ326" s="32" t="s">
        <v>59</v>
      </c>
      <c r="AV326" s="31">
        <f>AW326+AX326</f>
        <v>14959.998</v>
      </c>
      <c r="AW326" s="31">
        <f>G326*AO326</f>
        <v>452.81213666361003</v>
      </c>
      <c r="AX326" s="31">
        <f>G326*AP326</f>
        <v>14507.18586333639</v>
      </c>
      <c r="AY326" s="32" t="s">
        <v>528</v>
      </c>
      <c r="AZ326" s="32" t="s">
        <v>404</v>
      </c>
      <c r="BA326" s="12" t="s">
        <v>65</v>
      </c>
      <c r="BC326" s="31">
        <f>AW326+AX326</f>
        <v>14959.998</v>
      </c>
      <c r="BD326" s="31">
        <f>H326/(100-BE326)*100</f>
        <v>26.1</v>
      </c>
      <c r="BE326" s="31">
        <v>0</v>
      </c>
      <c r="BF326" s="31">
        <f>O326</f>
        <v>0</v>
      </c>
      <c r="BH326" s="31">
        <f>G326*AO326</f>
        <v>452.81213666361003</v>
      </c>
      <c r="BI326" s="31">
        <f>G326*AP326</f>
        <v>14507.18586333639</v>
      </c>
      <c r="BJ326" s="31">
        <f>G326*H326</f>
        <v>14959.998</v>
      </c>
      <c r="BK326" s="31"/>
      <c r="BL326" s="31">
        <v>89</v>
      </c>
      <c r="BW326" s="31" t="str">
        <f>I326</f>
        <v>21</v>
      </c>
      <c r="BX326" s="4" t="s">
        <v>527</v>
      </c>
    </row>
    <row r="327" spans="1:76">
      <c r="A327" s="34"/>
      <c r="D327" s="35" t="s">
        <v>481</v>
      </c>
      <c r="E327" s="35" t="s">
        <v>56</v>
      </c>
      <c r="G327" s="36">
        <v>573.17999999999995</v>
      </c>
      <c r="P327" s="37"/>
    </row>
    <row r="328" spans="1:76">
      <c r="A328" s="2" t="s">
        <v>529</v>
      </c>
      <c r="B328" s="3" t="s">
        <v>56</v>
      </c>
      <c r="C328" s="3" t="s">
        <v>530</v>
      </c>
      <c r="D328" s="74" t="s">
        <v>531</v>
      </c>
      <c r="E328" s="75"/>
      <c r="F328" s="3" t="s">
        <v>84</v>
      </c>
      <c r="G328" s="31">
        <v>1630.89</v>
      </c>
      <c r="H328" s="31">
        <v>33.6</v>
      </c>
      <c r="I328" s="32" t="s">
        <v>63</v>
      </c>
      <c r="J328" s="31">
        <f>G328*AO328</f>
        <v>3278.0891426764324</v>
      </c>
      <c r="K328" s="31">
        <f>G328*AP328</f>
        <v>51519.814857323574</v>
      </c>
      <c r="L328" s="31">
        <f>G328*H328</f>
        <v>54797.904000000002</v>
      </c>
      <c r="M328" s="31">
        <f>L328*(1+BW328/100)</f>
        <v>66305.463839999997</v>
      </c>
      <c r="N328" s="31">
        <v>0</v>
      </c>
      <c r="O328" s="31">
        <f>G328*N328</f>
        <v>0</v>
      </c>
      <c r="P328" s="33" t="s">
        <v>85</v>
      </c>
      <c r="Z328" s="31">
        <f>IF(AQ328="5",BJ328,0)</f>
        <v>0</v>
      </c>
      <c r="AB328" s="31">
        <f>IF(AQ328="1",BH328,0)</f>
        <v>3278.0891426764324</v>
      </c>
      <c r="AC328" s="31">
        <f>IF(AQ328="1",BI328,0)</f>
        <v>51519.814857323574</v>
      </c>
      <c r="AD328" s="31">
        <f>IF(AQ328="7",BH328,0)</f>
        <v>0</v>
      </c>
      <c r="AE328" s="31">
        <f>IF(AQ328="7",BI328,0)</f>
        <v>0</v>
      </c>
      <c r="AF328" s="31">
        <f>IF(AQ328="2",BH328,0)</f>
        <v>0</v>
      </c>
      <c r="AG328" s="31">
        <f>IF(AQ328="2",BI328,0)</f>
        <v>0</v>
      </c>
      <c r="AH328" s="31">
        <f>IF(AQ328="0",BJ328,0)</f>
        <v>0</v>
      </c>
      <c r="AI328" s="12" t="s">
        <v>56</v>
      </c>
      <c r="AJ328" s="31">
        <f>IF(AN328=0,L328,0)</f>
        <v>0</v>
      </c>
      <c r="AK328" s="31">
        <f>IF(AN328=12,L328,0)</f>
        <v>0</v>
      </c>
      <c r="AL328" s="31">
        <f>IF(AN328=21,L328,0)</f>
        <v>54797.904000000002</v>
      </c>
      <c r="AN328" s="31">
        <v>21</v>
      </c>
      <c r="AO328" s="31">
        <f>H328*0.059821433</f>
        <v>2.0100001488000001</v>
      </c>
      <c r="AP328" s="31">
        <f>H328*(1-0.059821433)</f>
        <v>31.589999851200002</v>
      </c>
      <c r="AQ328" s="32" t="s">
        <v>59</v>
      </c>
      <c r="AV328" s="31">
        <f>AW328+AX328</f>
        <v>54797.90400000001</v>
      </c>
      <c r="AW328" s="31">
        <f>G328*AO328</f>
        <v>3278.0891426764324</v>
      </c>
      <c r="AX328" s="31">
        <f>G328*AP328</f>
        <v>51519.814857323574</v>
      </c>
      <c r="AY328" s="32" t="s">
        <v>528</v>
      </c>
      <c r="AZ328" s="32" t="s">
        <v>404</v>
      </c>
      <c r="BA328" s="12" t="s">
        <v>65</v>
      </c>
      <c r="BC328" s="31">
        <f>AW328+AX328</f>
        <v>54797.90400000001</v>
      </c>
      <c r="BD328" s="31">
        <f>H328/(100-BE328)*100</f>
        <v>33.6</v>
      </c>
      <c r="BE328" s="31">
        <v>0</v>
      </c>
      <c r="BF328" s="31">
        <f>O328</f>
        <v>0</v>
      </c>
      <c r="BH328" s="31">
        <f>G328*AO328</f>
        <v>3278.0891426764324</v>
      </c>
      <c r="BI328" s="31">
        <f>G328*AP328</f>
        <v>51519.814857323574</v>
      </c>
      <c r="BJ328" s="31">
        <f>G328*H328</f>
        <v>54797.904000000002</v>
      </c>
      <c r="BK328" s="31"/>
      <c r="BL328" s="31">
        <v>89</v>
      </c>
      <c r="BW328" s="31" t="str">
        <f>I328</f>
        <v>21</v>
      </c>
      <c r="BX328" s="4" t="s">
        <v>531</v>
      </c>
    </row>
    <row r="329" spans="1:76">
      <c r="A329" s="34"/>
      <c r="D329" s="35" t="s">
        <v>489</v>
      </c>
      <c r="E329" s="35" t="s">
        <v>56</v>
      </c>
      <c r="G329" s="36">
        <v>874.7</v>
      </c>
      <c r="P329" s="37"/>
    </row>
    <row r="330" spans="1:76">
      <c r="A330" s="34"/>
      <c r="D330" s="35" t="s">
        <v>532</v>
      </c>
      <c r="E330" s="35" t="s">
        <v>56</v>
      </c>
      <c r="G330" s="36">
        <v>721.58</v>
      </c>
      <c r="P330" s="37"/>
    </row>
    <row r="331" spans="1:76">
      <c r="A331" s="34"/>
      <c r="D331" s="35" t="s">
        <v>533</v>
      </c>
      <c r="E331" s="35" t="s">
        <v>56</v>
      </c>
      <c r="G331" s="36">
        <v>34.61</v>
      </c>
      <c r="P331" s="37"/>
    </row>
    <row r="332" spans="1:76">
      <c r="A332" s="2" t="s">
        <v>534</v>
      </c>
      <c r="B332" s="3" t="s">
        <v>56</v>
      </c>
      <c r="C332" s="3" t="s">
        <v>535</v>
      </c>
      <c r="D332" s="74" t="s">
        <v>536</v>
      </c>
      <c r="E332" s="75"/>
      <c r="F332" s="3" t="s">
        <v>77</v>
      </c>
      <c r="G332" s="31">
        <v>2</v>
      </c>
      <c r="H332" s="31">
        <v>1232</v>
      </c>
      <c r="I332" s="32" t="s">
        <v>63</v>
      </c>
      <c r="J332" s="31">
        <f>G332*AO332</f>
        <v>391.499999968</v>
      </c>
      <c r="K332" s="31">
        <f>G332*AP332</f>
        <v>2072.5000000320001</v>
      </c>
      <c r="L332" s="31">
        <f>G332*H332</f>
        <v>2464</v>
      </c>
      <c r="M332" s="31">
        <f>L332*(1+BW332/100)</f>
        <v>2981.44</v>
      </c>
      <c r="N332" s="31">
        <v>4.0999999999999999E-4</v>
      </c>
      <c r="O332" s="31">
        <f>G332*N332</f>
        <v>8.1999999999999998E-4</v>
      </c>
      <c r="P332" s="33" t="s">
        <v>85</v>
      </c>
      <c r="Z332" s="31">
        <f>IF(AQ332="5",BJ332,0)</f>
        <v>0</v>
      </c>
      <c r="AB332" s="31">
        <f>IF(AQ332="1",BH332,0)</f>
        <v>391.499999968</v>
      </c>
      <c r="AC332" s="31">
        <f>IF(AQ332="1",BI332,0)</f>
        <v>2072.5000000320001</v>
      </c>
      <c r="AD332" s="31">
        <f>IF(AQ332="7",BH332,0)</f>
        <v>0</v>
      </c>
      <c r="AE332" s="31">
        <f>IF(AQ332="7",BI332,0)</f>
        <v>0</v>
      </c>
      <c r="AF332" s="31">
        <f>IF(AQ332="2",BH332,0)</f>
        <v>0</v>
      </c>
      <c r="AG332" s="31">
        <f>IF(AQ332="2",BI332,0)</f>
        <v>0</v>
      </c>
      <c r="AH332" s="31">
        <f>IF(AQ332="0",BJ332,0)</f>
        <v>0</v>
      </c>
      <c r="AI332" s="12" t="s">
        <v>56</v>
      </c>
      <c r="AJ332" s="31">
        <f>IF(AN332=0,L332,0)</f>
        <v>0</v>
      </c>
      <c r="AK332" s="31">
        <f>IF(AN332=12,L332,0)</f>
        <v>0</v>
      </c>
      <c r="AL332" s="31">
        <f>IF(AN332=21,L332,0)</f>
        <v>2464</v>
      </c>
      <c r="AN332" s="31">
        <v>21</v>
      </c>
      <c r="AO332" s="31">
        <f>H332*0.158887987</f>
        <v>195.749999984</v>
      </c>
      <c r="AP332" s="31">
        <f>H332*(1-0.158887987)</f>
        <v>1036.2500000160001</v>
      </c>
      <c r="AQ332" s="32" t="s">
        <v>59</v>
      </c>
      <c r="AV332" s="31">
        <f>AW332+AX332</f>
        <v>2464</v>
      </c>
      <c r="AW332" s="31">
        <f>G332*AO332</f>
        <v>391.499999968</v>
      </c>
      <c r="AX332" s="31">
        <f>G332*AP332</f>
        <v>2072.5000000320001</v>
      </c>
      <c r="AY332" s="32" t="s">
        <v>528</v>
      </c>
      <c r="AZ332" s="32" t="s">
        <v>404</v>
      </c>
      <c r="BA332" s="12" t="s">
        <v>65</v>
      </c>
      <c r="BC332" s="31">
        <f>AW332+AX332</f>
        <v>2464</v>
      </c>
      <c r="BD332" s="31">
        <f>H332/(100-BE332)*100</f>
        <v>1232</v>
      </c>
      <c r="BE332" s="31">
        <v>0</v>
      </c>
      <c r="BF332" s="31">
        <f>O332</f>
        <v>8.1999999999999998E-4</v>
      </c>
      <c r="BH332" s="31">
        <f>G332*AO332</f>
        <v>391.499999968</v>
      </c>
      <c r="BI332" s="31">
        <f>G332*AP332</f>
        <v>2072.5000000320001</v>
      </c>
      <c r="BJ332" s="31">
        <f>G332*H332</f>
        <v>2464</v>
      </c>
      <c r="BK332" s="31"/>
      <c r="BL332" s="31">
        <v>89</v>
      </c>
      <c r="BW332" s="31" t="str">
        <f>I332</f>
        <v>21</v>
      </c>
      <c r="BX332" s="4" t="s">
        <v>536</v>
      </c>
    </row>
    <row r="333" spans="1:76">
      <c r="A333" s="34"/>
      <c r="D333" s="35" t="s">
        <v>537</v>
      </c>
      <c r="E333" s="35" t="s">
        <v>56</v>
      </c>
      <c r="G333" s="36">
        <v>2</v>
      </c>
      <c r="P333" s="37"/>
    </row>
    <row r="334" spans="1:76">
      <c r="A334" s="2" t="s">
        <v>538</v>
      </c>
      <c r="B334" s="3" t="s">
        <v>56</v>
      </c>
      <c r="C334" s="3" t="s">
        <v>539</v>
      </c>
      <c r="D334" s="74" t="s">
        <v>540</v>
      </c>
      <c r="E334" s="75"/>
      <c r="F334" s="3" t="s">
        <v>77</v>
      </c>
      <c r="G334" s="31">
        <v>2</v>
      </c>
      <c r="H334" s="31">
        <v>16158</v>
      </c>
      <c r="I334" s="32" t="s">
        <v>63</v>
      </c>
      <c r="J334" s="31">
        <f>G334*AO334</f>
        <v>32316</v>
      </c>
      <c r="K334" s="31">
        <f>G334*AP334</f>
        <v>0</v>
      </c>
      <c r="L334" s="31">
        <f>G334*H334</f>
        <v>32316</v>
      </c>
      <c r="M334" s="31">
        <f>L334*(1+BW334/100)</f>
        <v>39102.36</v>
      </c>
      <c r="N334" s="31">
        <v>0</v>
      </c>
      <c r="O334" s="31">
        <f>G334*N334</f>
        <v>0</v>
      </c>
      <c r="P334" s="33" t="s">
        <v>56</v>
      </c>
      <c r="Z334" s="31">
        <f>IF(AQ334="5",BJ334,0)</f>
        <v>0</v>
      </c>
      <c r="AB334" s="31">
        <f>IF(AQ334="1",BH334,0)</f>
        <v>32316</v>
      </c>
      <c r="AC334" s="31">
        <f>IF(AQ334="1",BI334,0)</f>
        <v>0</v>
      </c>
      <c r="AD334" s="31">
        <f>IF(AQ334="7",BH334,0)</f>
        <v>0</v>
      </c>
      <c r="AE334" s="31">
        <f>IF(AQ334="7",BI334,0)</f>
        <v>0</v>
      </c>
      <c r="AF334" s="31">
        <f>IF(AQ334="2",BH334,0)</f>
        <v>0</v>
      </c>
      <c r="AG334" s="31">
        <f>IF(AQ334="2",BI334,0)</f>
        <v>0</v>
      </c>
      <c r="AH334" s="31">
        <f>IF(AQ334="0",BJ334,0)</f>
        <v>0</v>
      </c>
      <c r="AI334" s="12" t="s">
        <v>56</v>
      </c>
      <c r="AJ334" s="31">
        <f>IF(AN334=0,L334,0)</f>
        <v>0</v>
      </c>
      <c r="AK334" s="31">
        <f>IF(AN334=12,L334,0)</f>
        <v>0</v>
      </c>
      <c r="AL334" s="31">
        <f>IF(AN334=21,L334,0)</f>
        <v>32316</v>
      </c>
      <c r="AN334" s="31">
        <v>21</v>
      </c>
      <c r="AO334" s="31">
        <f>H334*1</f>
        <v>16158</v>
      </c>
      <c r="AP334" s="31">
        <f>H334*(1-1)</f>
        <v>0</v>
      </c>
      <c r="AQ334" s="32" t="s">
        <v>59</v>
      </c>
      <c r="AV334" s="31">
        <f>AW334+AX334</f>
        <v>32316</v>
      </c>
      <c r="AW334" s="31">
        <f>G334*AO334</f>
        <v>32316</v>
      </c>
      <c r="AX334" s="31">
        <f>G334*AP334</f>
        <v>0</v>
      </c>
      <c r="AY334" s="32" t="s">
        <v>528</v>
      </c>
      <c r="AZ334" s="32" t="s">
        <v>404</v>
      </c>
      <c r="BA334" s="12" t="s">
        <v>65</v>
      </c>
      <c r="BC334" s="31">
        <f>AW334+AX334</f>
        <v>32316</v>
      </c>
      <c r="BD334" s="31">
        <f>H334/(100-BE334)*100</f>
        <v>16158.000000000002</v>
      </c>
      <c r="BE334" s="31">
        <v>0</v>
      </c>
      <c r="BF334" s="31">
        <f>O334</f>
        <v>0</v>
      </c>
      <c r="BH334" s="31">
        <f>G334*AO334</f>
        <v>32316</v>
      </c>
      <c r="BI334" s="31">
        <f>G334*AP334</f>
        <v>0</v>
      </c>
      <c r="BJ334" s="31">
        <f>G334*H334</f>
        <v>32316</v>
      </c>
      <c r="BK334" s="31"/>
      <c r="BL334" s="31">
        <v>89</v>
      </c>
      <c r="BW334" s="31" t="str">
        <f>I334</f>
        <v>21</v>
      </c>
      <c r="BX334" s="4" t="s">
        <v>540</v>
      </c>
    </row>
    <row r="335" spans="1:76">
      <c r="A335" s="34"/>
      <c r="D335" s="35" t="s">
        <v>432</v>
      </c>
      <c r="E335" s="35" t="s">
        <v>56</v>
      </c>
      <c r="G335" s="36">
        <v>2</v>
      </c>
      <c r="P335" s="37"/>
    </row>
    <row r="336" spans="1:76">
      <c r="A336" s="2" t="s">
        <v>541</v>
      </c>
      <c r="B336" s="3" t="s">
        <v>56</v>
      </c>
      <c r="C336" s="3" t="s">
        <v>542</v>
      </c>
      <c r="D336" s="74" t="s">
        <v>543</v>
      </c>
      <c r="E336" s="75"/>
      <c r="F336" s="3" t="s">
        <v>77</v>
      </c>
      <c r="G336" s="31">
        <v>1</v>
      </c>
      <c r="H336" s="31">
        <v>968.01</v>
      </c>
      <c r="I336" s="32" t="s">
        <v>63</v>
      </c>
      <c r="J336" s="31">
        <f>G336*AO336</f>
        <v>105.23000031555</v>
      </c>
      <c r="K336" s="31">
        <f>G336*AP336</f>
        <v>862.77999968444999</v>
      </c>
      <c r="L336" s="31">
        <f>G336*H336</f>
        <v>968.01</v>
      </c>
      <c r="M336" s="31">
        <f>L336*(1+BW336/100)</f>
        <v>1171.2920999999999</v>
      </c>
      <c r="N336" s="31">
        <v>2.2000000000000001E-4</v>
      </c>
      <c r="O336" s="31">
        <f>G336*N336</f>
        <v>2.2000000000000001E-4</v>
      </c>
      <c r="P336" s="33" t="s">
        <v>85</v>
      </c>
      <c r="Z336" s="31">
        <f>IF(AQ336="5",BJ336,0)</f>
        <v>0</v>
      </c>
      <c r="AB336" s="31">
        <f>IF(AQ336="1",BH336,0)</f>
        <v>105.23000031555</v>
      </c>
      <c r="AC336" s="31">
        <f>IF(AQ336="1",BI336,0)</f>
        <v>862.77999968444999</v>
      </c>
      <c r="AD336" s="31">
        <f>IF(AQ336="7",BH336,0)</f>
        <v>0</v>
      </c>
      <c r="AE336" s="31">
        <f>IF(AQ336="7",BI336,0)</f>
        <v>0</v>
      </c>
      <c r="AF336" s="31">
        <f>IF(AQ336="2",BH336,0)</f>
        <v>0</v>
      </c>
      <c r="AG336" s="31">
        <f>IF(AQ336="2",BI336,0)</f>
        <v>0</v>
      </c>
      <c r="AH336" s="31">
        <f>IF(AQ336="0",BJ336,0)</f>
        <v>0</v>
      </c>
      <c r="AI336" s="12" t="s">
        <v>56</v>
      </c>
      <c r="AJ336" s="31">
        <f>IF(AN336=0,L336,0)</f>
        <v>0</v>
      </c>
      <c r="AK336" s="31">
        <f>IF(AN336=12,L336,0)</f>
        <v>0</v>
      </c>
      <c r="AL336" s="31">
        <f>IF(AN336=21,L336,0)</f>
        <v>968.01</v>
      </c>
      <c r="AN336" s="31">
        <v>21</v>
      </c>
      <c r="AO336" s="31">
        <f>H336*0.108707555</f>
        <v>105.23000031555</v>
      </c>
      <c r="AP336" s="31">
        <f>H336*(1-0.108707555)</f>
        <v>862.77999968444999</v>
      </c>
      <c r="AQ336" s="32" t="s">
        <v>59</v>
      </c>
      <c r="AV336" s="31">
        <f>AW336+AX336</f>
        <v>968.01</v>
      </c>
      <c r="AW336" s="31">
        <f>G336*AO336</f>
        <v>105.23000031555</v>
      </c>
      <c r="AX336" s="31">
        <f>G336*AP336</f>
        <v>862.77999968444999</v>
      </c>
      <c r="AY336" s="32" t="s">
        <v>528</v>
      </c>
      <c r="AZ336" s="32" t="s">
        <v>404</v>
      </c>
      <c r="BA336" s="12" t="s">
        <v>65</v>
      </c>
      <c r="BC336" s="31">
        <f>AW336+AX336</f>
        <v>968.01</v>
      </c>
      <c r="BD336" s="31">
        <f>H336/(100-BE336)*100</f>
        <v>968.01</v>
      </c>
      <c r="BE336" s="31">
        <v>0</v>
      </c>
      <c r="BF336" s="31">
        <f>O336</f>
        <v>2.2000000000000001E-4</v>
      </c>
      <c r="BH336" s="31">
        <f>G336*AO336</f>
        <v>105.23000031555</v>
      </c>
      <c r="BI336" s="31">
        <f>G336*AP336</f>
        <v>862.77999968444999</v>
      </c>
      <c r="BJ336" s="31">
        <f>G336*H336</f>
        <v>968.01</v>
      </c>
      <c r="BK336" s="31"/>
      <c r="BL336" s="31">
        <v>89</v>
      </c>
      <c r="BW336" s="31" t="str">
        <f>I336</f>
        <v>21</v>
      </c>
      <c r="BX336" s="4" t="s">
        <v>543</v>
      </c>
    </row>
    <row r="337" spans="1:76">
      <c r="A337" s="34"/>
      <c r="D337" s="35" t="s">
        <v>544</v>
      </c>
      <c r="E337" s="35" t="s">
        <v>56</v>
      </c>
      <c r="G337" s="36">
        <v>1</v>
      </c>
      <c r="P337" s="37"/>
    </row>
    <row r="338" spans="1:76">
      <c r="A338" s="2" t="s">
        <v>545</v>
      </c>
      <c r="B338" s="3" t="s">
        <v>56</v>
      </c>
      <c r="C338" s="3" t="s">
        <v>546</v>
      </c>
      <c r="D338" s="74" t="s">
        <v>547</v>
      </c>
      <c r="E338" s="75"/>
      <c r="F338" s="3" t="s">
        <v>77</v>
      </c>
      <c r="G338" s="31">
        <v>1</v>
      </c>
      <c r="H338" s="31">
        <v>15640</v>
      </c>
      <c r="I338" s="32" t="s">
        <v>63</v>
      </c>
      <c r="J338" s="31">
        <f>G338*AO338</f>
        <v>15640</v>
      </c>
      <c r="K338" s="31">
        <f>G338*AP338</f>
        <v>0</v>
      </c>
      <c r="L338" s="31">
        <f>G338*H338</f>
        <v>15640</v>
      </c>
      <c r="M338" s="31">
        <f>L338*(1+BW338/100)</f>
        <v>18924.399999999998</v>
      </c>
      <c r="N338" s="31">
        <v>0</v>
      </c>
      <c r="O338" s="31">
        <f>G338*N338</f>
        <v>0</v>
      </c>
      <c r="P338" s="33" t="s">
        <v>56</v>
      </c>
      <c r="Z338" s="31">
        <f>IF(AQ338="5",BJ338,0)</f>
        <v>0</v>
      </c>
      <c r="AB338" s="31">
        <f>IF(AQ338="1",BH338,0)</f>
        <v>15640</v>
      </c>
      <c r="AC338" s="31">
        <f>IF(AQ338="1",BI338,0)</f>
        <v>0</v>
      </c>
      <c r="AD338" s="31">
        <f>IF(AQ338="7",BH338,0)</f>
        <v>0</v>
      </c>
      <c r="AE338" s="31">
        <f>IF(AQ338="7",BI338,0)</f>
        <v>0</v>
      </c>
      <c r="AF338" s="31">
        <f>IF(AQ338="2",BH338,0)</f>
        <v>0</v>
      </c>
      <c r="AG338" s="31">
        <f>IF(AQ338="2",BI338,0)</f>
        <v>0</v>
      </c>
      <c r="AH338" s="31">
        <f>IF(AQ338="0",BJ338,0)</f>
        <v>0</v>
      </c>
      <c r="AI338" s="12" t="s">
        <v>56</v>
      </c>
      <c r="AJ338" s="31">
        <f>IF(AN338=0,L338,0)</f>
        <v>0</v>
      </c>
      <c r="AK338" s="31">
        <f>IF(AN338=12,L338,0)</f>
        <v>0</v>
      </c>
      <c r="AL338" s="31">
        <f>IF(AN338=21,L338,0)</f>
        <v>15640</v>
      </c>
      <c r="AN338" s="31">
        <v>21</v>
      </c>
      <c r="AO338" s="31">
        <f>H338*1</f>
        <v>15640</v>
      </c>
      <c r="AP338" s="31">
        <f>H338*(1-1)</f>
        <v>0</v>
      </c>
      <c r="AQ338" s="32" t="s">
        <v>59</v>
      </c>
      <c r="AV338" s="31">
        <f>AW338+AX338</f>
        <v>15640</v>
      </c>
      <c r="AW338" s="31">
        <f>G338*AO338</f>
        <v>15640</v>
      </c>
      <c r="AX338" s="31">
        <f>G338*AP338</f>
        <v>0</v>
      </c>
      <c r="AY338" s="32" t="s">
        <v>528</v>
      </c>
      <c r="AZ338" s="32" t="s">
        <v>404</v>
      </c>
      <c r="BA338" s="12" t="s">
        <v>65</v>
      </c>
      <c r="BC338" s="31">
        <f>AW338+AX338</f>
        <v>15640</v>
      </c>
      <c r="BD338" s="31">
        <f>H338/(100-BE338)*100</f>
        <v>15640</v>
      </c>
      <c r="BE338" s="31">
        <v>0</v>
      </c>
      <c r="BF338" s="31">
        <f>O338</f>
        <v>0</v>
      </c>
      <c r="BH338" s="31">
        <f>G338*AO338</f>
        <v>15640</v>
      </c>
      <c r="BI338" s="31">
        <f>G338*AP338</f>
        <v>0</v>
      </c>
      <c r="BJ338" s="31">
        <f>G338*H338</f>
        <v>15640</v>
      </c>
      <c r="BK338" s="31"/>
      <c r="BL338" s="31">
        <v>89</v>
      </c>
      <c r="BW338" s="31" t="str">
        <f>I338</f>
        <v>21</v>
      </c>
      <c r="BX338" s="4" t="s">
        <v>547</v>
      </c>
    </row>
    <row r="339" spans="1:76">
      <c r="A339" s="34"/>
      <c r="D339" s="35" t="s">
        <v>450</v>
      </c>
      <c r="E339" s="35" t="s">
        <v>56</v>
      </c>
      <c r="G339" s="36">
        <v>1</v>
      </c>
      <c r="P339" s="37"/>
    </row>
    <row r="340" spans="1:76">
      <c r="A340" s="2" t="s">
        <v>548</v>
      </c>
      <c r="B340" s="3" t="s">
        <v>56</v>
      </c>
      <c r="C340" s="3" t="s">
        <v>549</v>
      </c>
      <c r="D340" s="74" t="s">
        <v>550</v>
      </c>
      <c r="E340" s="75"/>
      <c r="F340" s="3" t="s">
        <v>77</v>
      </c>
      <c r="G340" s="31">
        <v>1</v>
      </c>
      <c r="H340" s="31">
        <v>746</v>
      </c>
      <c r="I340" s="32" t="s">
        <v>63</v>
      </c>
      <c r="J340" s="31">
        <f>G340*AO340</f>
        <v>195.75000014400001</v>
      </c>
      <c r="K340" s="31">
        <f>G340*AP340</f>
        <v>550.24999985599993</v>
      </c>
      <c r="L340" s="31">
        <f>G340*H340</f>
        <v>746</v>
      </c>
      <c r="M340" s="31">
        <f>L340*(1+BW340/100)</f>
        <v>902.66</v>
      </c>
      <c r="N340" s="31">
        <v>4.0999999999999999E-4</v>
      </c>
      <c r="O340" s="31">
        <f>G340*N340</f>
        <v>4.0999999999999999E-4</v>
      </c>
      <c r="P340" s="33" t="s">
        <v>85</v>
      </c>
      <c r="Z340" s="31">
        <f>IF(AQ340="5",BJ340,0)</f>
        <v>0</v>
      </c>
      <c r="AB340" s="31">
        <f>IF(AQ340="1",BH340,0)</f>
        <v>195.75000014400001</v>
      </c>
      <c r="AC340" s="31">
        <f>IF(AQ340="1",BI340,0)</f>
        <v>550.24999985599993</v>
      </c>
      <c r="AD340" s="31">
        <f>IF(AQ340="7",BH340,0)</f>
        <v>0</v>
      </c>
      <c r="AE340" s="31">
        <f>IF(AQ340="7",BI340,0)</f>
        <v>0</v>
      </c>
      <c r="AF340" s="31">
        <f>IF(AQ340="2",BH340,0)</f>
        <v>0</v>
      </c>
      <c r="AG340" s="31">
        <f>IF(AQ340="2",BI340,0)</f>
        <v>0</v>
      </c>
      <c r="AH340" s="31">
        <f>IF(AQ340="0",BJ340,0)</f>
        <v>0</v>
      </c>
      <c r="AI340" s="12" t="s">
        <v>56</v>
      </c>
      <c r="AJ340" s="31">
        <f>IF(AN340=0,L340,0)</f>
        <v>0</v>
      </c>
      <c r="AK340" s="31">
        <f>IF(AN340=12,L340,0)</f>
        <v>0</v>
      </c>
      <c r="AL340" s="31">
        <f>IF(AN340=21,L340,0)</f>
        <v>746</v>
      </c>
      <c r="AN340" s="31">
        <v>21</v>
      </c>
      <c r="AO340" s="31">
        <f>H340*0.262399464</f>
        <v>195.75000014400001</v>
      </c>
      <c r="AP340" s="31">
        <f>H340*(1-0.262399464)</f>
        <v>550.24999985599993</v>
      </c>
      <c r="AQ340" s="32" t="s">
        <v>59</v>
      </c>
      <c r="AV340" s="31">
        <f>AW340+AX340</f>
        <v>746</v>
      </c>
      <c r="AW340" s="31">
        <f>G340*AO340</f>
        <v>195.75000014400001</v>
      </c>
      <c r="AX340" s="31">
        <f>G340*AP340</f>
        <v>550.24999985599993</v>
      </c>
      <c r="AY340" s="32" t="s">
        <v>528</v>
      </c>
      <c r="AZ340" s="32" t="s">
        <v>404</v>
      </c>
      <c r="BA340" s="12" t="s">
        <v>65</v>
      </c>
      <c r="BC340" s="31">
        <f>AW340+AX340</f>
        <v>746</v>
      </c>
      <c r="BD340" s="31">
        <f>H340/(100-BE340)*100</f>
        <v>746</v>
      </c>
      <c r="BE340" s="31">
        <v>0</v>
      </c>
      <c r="BF340" s="31">
        <f>O340</f>
        <v>4.0999999999999999E-4</v>
      </c>
      <c r="BH340" s="31">
        <f>G340*AO340</f>
        <v>195.75000014400001</v>
      </c>
      <c r="BI340" s="31">
        <f>G340*AP340</f>
        <v>550.24999985599993</v>
      </c>
      <c r="BJ340" s="31">
        <f>G340*H340</f>
        <v>746</v>
      </c>
      <c r="BK340" s="31"/>
      <c r="BL340" s="31">
        <v>89</v>
      </c>
      <c r="BW340" s="31" t="str">
        <f>I340</f>
        <v>21</v>
      </c>
      <c r="BX340" s="4" t="s">
        <v>550</v>
      </c>
    </row>
    <row r="341" spans="1:76">
      <c r="A341" s="34"/>
      <c r="D341" s="35" t="s">
        <v>551</v>
      </c>
      <c r="E341" s="35" t="s">
        <v>56</v>
      </c>
      <c r="G341" s="36">
        <v>1</v>
      </c>
      <c r="P341" s="37"/>
    </row>
    <row r="342" spans="1:76">
      <c r="A342" s="2" t="s">
        <v>552</v>
      </c>
      <c r="B342" s="3" t="s">
        <v>56</v>
      </c>
      <c r="C342" s="3" t="s">
        <v>553</v>
      </c>
      <c r="D342" s="74" t="s">
        <v>554</v>
      </c>
      <c r="E342" s="75"/>
      <c r="F342" s="3" t="s">
        <v>77</v>
      </c>
      <c r="G342" s="31">
        <v>1</v>
      </c>
      <c r="H342" s="31">
        <v>15587</v>
      </c>
      <c r="I342" s="32" t="s">
        <v>63</v>
      </c>
      <c r="J342" s="31">
        <f>G342*AO342</f>
        <v>15587</v>
      </c>
      <c r="K342" s="31">
        <f>G342*AP342</f>
        <v>0</v>
      </c>
      <c r="L342" s="31">
        <f>G342*H342</f>
        <v>15587</v>
      </c>
      <c r="M342" s="31">
        <f>L342*(1+BW342/100)</f>
        <v>18860.27</v>
      </c>
      <c r="N342" s="31">
        <v>0</v>
      </c>
      <c r="O342" s="31">
        <f>G342*N342</f>
        <v>0</v>
      </c>
      <c r="P342" s="33" t="s">
        <v>56</v>
      </c>
      <c r="Z342" s="31">
        <f>IF(AQ342="5",BJ342,0)</f>
        <v>0</v>
      </c>
      <c r="AB342" s="31">
        <f>IF(AQ342="1",BH342,0)</f>
        <v>15587</v>
      </c>
      <c r="AC342" s="31">
        <f>IF(AQ342="1",BI342,0)</f>
        <v>0</v>
      </c>
      <c r="AD342" s="31">
        <f>IF(AQ342="7",BH342,0)</f>
        <v>0</v>
      </c>
      <c r="AE342" s="31">
        <f>IF(AQ342="7",BI342,0)</f>
        <v>0</v>
      </c>
      <c r="AF342" s="31">
        <f>IF(AQ342="2",BH342,0)</f>
        <v>0</v>
      </c>
      <c r="AG342" s="31">
        <f>IF(AQ342="2",BI342,0)</f>
        <v>0</v>
      </c>
      <c r="AH342" s="31">
        <f>IF(AQ342="0",BJ342,0)</f>
        <v>0</v>
      </c>
      <c r="AI342" s="12" t="s">
        <v>56</v>
      </c>
      <c r="AJ342" s="31">
        <f>IF(AN342=0,L342,0)</f>
        <v>0</v>
      </c>
      <c r="AK342" s="31">
        <f>IF(AN342=12,L342,0)</f>
        <v>0</v>
      </c>
      <c r="AL342" s="31">
        <f>IF(AN342=21,L342,0)</f>
        <v>15587</v>
      </c>
      <c r="AN342" s="31">
        <v>21</v>
      </c>
      <c r="AO342" s="31">
        <f>H342*1</f>
        <v>15587</v>
      </c>
      <c r="AP342" s="31">
        <f>H342*(1-1)</f>
        <v>0</v>
      </c>
      <c r="AQ342" s="32" t="s">
        <v>59</v>
      </c>
      <c r="AV342" s="31">
        <f>AW342+AX342</f>
        <v>15587</v>
      </c>
      <c r="AW342" s="31">
        <f>G342*AO342</f>
        <v>15587</v>
      </c>
      <c r="AX342" s="31">
        <f>G342*AP342</f>
        <v>0</v>
      </c>
      <c r="AY342" s="32" t="s">
        <v>528</v>
      </c>
      <c r="AZ342" s="32" t="s">
        <v>404</v>
      </c>
      <c r="BA342" s="12" t="s">
        <v>65</v>
      </c>
      <c r="BC342" s="31">
        <f>AW342+AX342</f>
        <v>15587</v>
      </c>
      <c r="BD342" s="31">
        <f>H342/(100-BE342)*100</f>
        <v>15587</v>
      </c>
      <c r="BE342" s="31">
        <v>0</v>
      </c>
      <c r="BF342" s="31">
        <f>O342</f>
        <v>0</v>
      </c>
      <c r="BH342" s="31">
        <f>G342*AO342</f>
        <v>15587</v>
      </c>
      <c r="BI342" s="31">
        <f>G342*AP342</f>
        <v>0</v>
      </c>
      <c r="BJ342" s="31">
        <f>G342*H342</f>
        <v>15587</v>
      </c>
      <c r="BK342" s="31"/>
      <c r="BL342" s="31">
        <v>89</v>
      </c>
      <c r="BW342" s="31" t="str">
        <f>I342</f>
        <v>21</v>
      </c>
      <c r="BX342" s="4" t="s">
        <v>554</v>
      </c>
    </row>
    <row r="343" spans="1:76">
      <c r="A343" s="34"/>
      <c r="D343" s="35" t="s">
        <v>450</v>
      </c>
      <c r="E343" s="35" t="s">
        <v>56</v>
      </c>
      <c r="G343" s="36">
        <v>1</v>
      </c>
      <c r="P343" s="37"/>
    </row>
    <row r="344" spans="1:76">
      <c r="A344" s="38" t="s">
        <v>56</v>
      </c>
      <c r="B344" s="39" t="s">
        <v>56</v>
      </c>
      <c r="C344" s="39" t="s">
        <v>555</v>
      </c>
      <c r="D344" s="76" t="s">
        <v>556</v>
      </c>
      <c r="E344" s="77"/>
      <c r="F344" s="40" t="s">
        <v>4</v>
      </c>
      <c r="G344" s="40" t="s">
        <v>4</v>
      </c>
      <c r="H344" s="40" t="s">
        <v>4</v>
      </c>
      <c r="I344" s="40" t="s">
        <v>4</v>
      </c>
      <c r="J344" s="1">
        <f>SUM(J345:J345)</f>
        <v>4285.7999999999993</v>
      </c>
      <c r="K344" s="1">
        <f>SUM(K345:K345)</f>
        <v>25714.199999999997</v>
      </c>
      <c r="L344" s="1">
        <f>SUM(L345:L345)</f>
        <v>30000</v>
      </c>
      <c r="M344" s="1">
        <f>SUM(M345:M345)</f>
        <v>36300</v>
      </c>
      <c r="N344" s="12" t="s">
        <v>56</v>
      </c>
      <c r="O344" s="1">
        <f>SUM(O345:O345)</f>
        <v>0</v>
      </c>
      <c r="P344" s="41" t="s">
        <v>56</v>
      </c>
      <c r="AI344" s="12" t="s">
        <v>56</v>
      </c>
      <c r="AS344" s="1">
        <f>SUM(AJ345:AJ345)</f>
        <v>0</v>
      </c>
      <c r="AT344" s="1">
        <f>SUM(AK345:AK345)</f>
        <v>0</v>
      </c>
      <c r="AU344" s="1">
        <f>SUM(AL345:AL345)</f>
        <v>30000</v>
      </c>
    </row>
    <row r="345" spans="1:76">
      <c r="A345" s="2" t="s">
        <v>557</v>
      </c>
      <c r="B345" s="3" t="s">
        <v>56</v>
      </c>
      <c r="C345" s="3" t="s">
        <v>558</v>
      </c>
      <c r="D345" s="74" t="s">
        <v>556</v>
      </c>
      <c r="E345" s="75"/>
      <c r="F345" s="3" t="s">
        <v>77</v>
      </c>
      <c r="G345" s="31">
        <v>3</v>
      </c>
      <c r="H345" s="31">
        <v>10000</v>
      </c>
      <c r="I345" s="32" t="s">
        <v>63</v>
      </c>
      <c r="J345" s="31">
        <f>G345*AO345</f>
        <v>4285.7999999999993</v>
      </c>
      <c r="K345" s="31">
        <f>G345*AP345</f>
        <v>25714.199999999997</v>
      </c>
      <c r="L345" s="31">
        <f>G345*H345</f>
        <v>30000</v>
      </c>
      <c r="M345" s="31">
        <f>L345*(1+BW345/100)</f>
        <v>36300</v>
      </c>
      <c r="N345" s="31">
        <v>0</v>
      </c>
      <c r="O345" s="31">
        <f>G345*N345</f>
        <v>0</v>
      </c>
      <c r="P345" s="33" t="s">
        <v>56</v>
      </c>
      <c r="Z345" s="31">
        <f>IF(AQ345="5",BJ345,0)</f>
        <v>0</v>
      </c>
      <c r="AB345" s="31">
        <f>IF(AQ345="1",BH345,0)</f>
        <v>4285.7999999999993</v>
      </c>
      <c r="AC345" s="31">
        <f>IF(AQ345="1",BI345,0)</f>
        <v>25714.199999999997</v>
      </c>
      <c r="AD345" s="31">
        <f>IF(AQ345="7",BH345,0)</f>
        <v>0</v>
      </c>
      <c r="AE345" s="31">
        <f>IF(AQ345="7",BI345,0)</f>
        <v>0</v>
      </c>
      <c r="AF345" s="31">
        <f>IF(AQ345="2",BH345,0)</f>
        <v>0</v>
      </c>
      <c r="AG345" s="31">
        <f>IF(AQ345="2",BI345,0)</f>
        <v>0</v>
      </c>
      <c r="AH345" s="31">
        <f>IF(AQ345="0",BJ345,0)</f>
        <v>0</v>
      </c>
      <c r="AI345" s="12" t="s">
        <v>56</v>
      </c>
      <c r="AJ345" s="31">
        <f>IF(AN345=0,L345,0)</f>
        <v>0</v>
      </c>
      <c r="AK345" s="31">
        <f>IF(AN345=12,L345,0)</f>
        <v>0</v>
      </c>
      <c r="AL345" s="31">
        <f>IF(AN345=21,L345,0)</f>
        <v>30000</v>
      </c>
      <c r="AN345" s="31">
        <v>21</v>
      </c>
      <c r="AO345" s="31">
        <f>H345*0.14286</f>
        <v>1428.6</v>
      </c>
      <c r="AP345" s="31">
        <f>H345*(1-0.14286)</f>
        <v>8571.4</v>
      </c>
      <c r="AQ345" s="32" t="s">
        <v>59</v>
      </c>
      <c r="AV345" s="31">
        <f>AW345+AX345</f>
        <v>29999.999999999996</v>
      </c>
      <c r="AW345" s="31">
        <f>G345*AO345</f>
        <v>4285.7999999999993</v>
      </c>
      <c r="AX345" s="31">
        <f>G345*AP345</f>
        <v>25714.199999999997</v>
      </c>
      <c r="AY345" s="32" t="s">
        <v>559</v>
      </c>
      <c r="AZ345" s="32" t="s">
        <v>404</v>
      </c>
      <c r="BA345" s="12" t="s">
        <v>65</v>
      </c>
      <c r="BC345" s="31">
        <f>AW345+AX345</f>
        <v>29999.999999999996</v>
      </c>
      <c r="BD345" s="31">
        <f>H345/(100-BE345)*100</f>
        <v>10000</v>
      </c>
      <c r="BE345" s="31">
        <v>0</v>
      </c>
      <c r="BF345" s="31">
        <f>O345</f>
        <v>0</v>
      </c>
      <c r="BH345" s="31">
        <f>G345*AO345</f>
        <v>4285.7999999999993</v>
      </c>
      <c r="BI345" s="31">
        <f>G345*AP345</f>
        <v>25714.199999999997</v>
      </c>
      <c r="BJ345" s="31">
        <f>G345*H345</f>
        <v>30000</v>
      </c>
      <c r="BK345" s="31"/>
      <c r="BL345" s="31">
        <v>891</v>
      </c>
      <c r="BW345" s="31" t="str">
        <f>I345</f>
        <v>21</v>
      </c>
      <c r="BX345" s="4" t="s">
        <v>556</v>
      </c>
    </row>
    <row r="346" spans="1:76">
      <c r="A346" s="34"/>
      <c r="D346" s="35" t="s">
        <v>560</v>
      </c>
      <c r="E346" s="35" t="s">
        <v>56</v>
      </c>
      <c r="G346" s="36">
        <v>3</v>
      </c>
      <c r="P346" s="37"/>
    </row>
    <row r="347" spans="1:76">
      <c r="A347" s="38" t="s">
        <v>56</v>
      </c>
      <c r="B347" s="39" t="s">
        <v>56</v>
      </c>
      <c r="C347" s="39" t="s">
        <v>561</v>
      </c>
      <c r="D347" s="76" t="s">
        <v>562</v>
      </c>
      <c r="E347" s="77"/>
      <c r="F347" s="40" t="s">
        <v>4</v>
      </c>
      <c r="G347" s="40" t="s">
        <v>4</v>
      </c>
      <c r="H347" s="40" t="s">
        <v>4</v>
      </c>
      <c r="I347" s="40" t="s">
        <v>4</v>
      </c>
      <c r="J347" s="1">
        <f>SUM(J348:J348)</f>
        <v>10400</v>
      </c>
      <c r="K347" s="1">
        <f>SUM(K348:K348)</f>
        <v>9600</v>
      </c>
      <c r="L347" s="1">
        <f>SUM(L348:L348)</f>
        <v>20000</v>
      </c>
      <c r="M347" s="1">
        <f>SUM(M348:M348)</f>
        <v>24200</v>
      </c>
      <c r="N347" s="12" t="s">
        <v>56</v>
      </c>
      <c r="O347" s="1">
        <f>SUM(O348:O348)</f>
        <v>12</v>
      </c>
      <c r="P347" s="41" t="s">
        <v>56</v>
      </c>
      <c r="AI347" s="12" t="s">
        <v>56</v>
      </c>
      <c r="AS347" s="1">
        <f>SUM(AJ348:AJ348)</f>
        <v>0</v>
      </c>
      <c r="AT347" s="1">
        <f>SUM(AK348:AK348)</f>
        <v>0</v>
      </c>
      <c r="AU347" s="1">
        <f>SUM(AL348:AL348)</f>
        <v>20000</v>
      </c>
    </row>
    <row r="348" spans="1:76">
      <c r="A348" s="2" t="s">
        <v>563</v>
      </c>
      <c r="B348" s="3" t="s">
        <v>56</v>
      </c>
      <c r="C348" s="3" t="s">
        <v>564</v>
      </c>
      <c r="D348" s="74" t="s">
        <v>565</v>
      </c>
      <c r="E348" s="75"/>
      <c r="F348" s="3" t="s">
        <v>77</v>
      </c>
      <c r="G348" s="31">
        <v>1</v>
      </c>
      <c r="H348" s="31">
        <v>20000</v>
      </c>
      <c r="I348" s="32" t="s">
        <v>63</v>
      </c>
      <c r="J348" s="31">
        <f>G348*AO348</f>
        <v>10400</v>
      </c>
      <c r="K348" s="31">
        <f>G348*AP348</f>
        <v>9600</v>
      </c>
      <c r="L348" s="31">
        <f>G348*H348</f>
        <v>20000</v>
      </c>
      <c r="M348" s="31">
        <f>L348*(1+BW348/100)</f>
        <v>24200</v>
      </c>
      <c r="N348" s="31">
        <v>12</v>
      </c>
      <c r="O348" s="31">
        <f>G348*N348</f>
        <v>12</v>
      </c>
      <c r="P348" s="33" t="s">
        <v>566</v>
      </c>
      <c r="Z348" s="31">
        <f>IF(AQ348="5",BJ348,0)</f>
        <v>0</v>
      </c>
      <c r="AB348" s="31">
        <f>IF(AQ348="1",BH348,0)</f>
        <v>10400</v>
      </c>
      <c r="AC348" s="31">
        <f>IF(AQ348="1",BI348,0)</f>
        <v>9600</v>
      </c>
      <c r="AD348" s="31">
        <f>IF(AQ348="7",BH348,0)</f>
        <v>0</v>
      </c>
      <c r="AE348" s="31">
        <f>IF(AQ348="7",BI348,0)</f>
        <v>0</v>
      </c>
      <c r="AF348" s="31">
        <f>IF(AQ348="2",BH348,0)</f>
        <v>0</v>
      </c>
      <c r="AG348" s="31">
        <f>IF(AQ348="2",BI348,0)</f>
        <v>0</v>
      </c>
      <c r="AH348" s="31">
        <f>IF(AQ348="0",BJ348,0)</f>
        <v>0</v>
      </c>
      <c r="AI348" s="12" t="s">
        <v>56</v>
      </c>
      <c r="AJ348" s="31">
        <f>IF(AN348=0,L348,0)</f>
        <v>0</v>
      </c>
      <c r="AK348" s="31">
        <f>IF(AN348=12,L348,0)</f>
        <v>0</v>
      </c>
      <c r="AL348" s="31">
        <f>IF(AN348=21,L348,0)</f>
        <v>20000</v>
      </c>
      <c r="AN348" s="31">
        <v>21</v>
      </c>
      <c r="AO348" s="31">
        <f>H348*0.52</f>
        <v>10400</v>
      </c>
      <c r="AP348" s="31">
        <f>H348*(1-0.52)</f>
        <v>9600</v>
      </c>
      <c r="AQ348" s="32" t="s">
        <v>59</v>
      </c>
      <c r="AV348" s="31">
        <f>AW348+AX348</f>
        <v>20000</v>
      </c>
      <c r="AW348" s="31">
        <f>G348*AO348</f>
        <v>10400</v>
      </c>
      <c r="AX348" s="31">
        <f>G348*AP348</f>
        <v>9600</v>
      </c>
      <c r="AY348" s="32" t="s">
        <v>567</v>
      </c>
      <c r="AZ348" s="32" t="s">
        <v>404</v>
      </c>
      <c r="BA348" s="12" t="s">
        <v>65</v>
      </c>
      <c r="BC348" s="31">
        <f>AW348+AX348</f>
        <v>20000</v>
      </c>
      <c r="BD348" s="31">
        <f>H348/(100-BE348)*100</f>
        <v>20000</v>
      </c>
      <c r="BE348" s="31">
        <v>0</v>
      </c>
      <c r="BF348" s="31">
        <f>O348</f>
        <v>12</v>
      </c>
      <c r="BH348" s="31">
        <f>G348*AO348</f>
        <v>10400</v>
      </c>
      <c r="BI348" s="31">
        <f>G348*AP348</f>
        <v>9600</v>
      </c>
      <c r="BJ348" s="31">
        <f>G348*H348</f>
        <v>20000</v>
      </c>
      <c r="BK348" s="31"/>
      <c r="BL348" s="31">
        <v>894</v>
      </c>
      <c r="BW348" s="31" t="str">
        <f>I348</f>
        <v>21</v>
      </c>
      <c r="BX348" s="4" t="s">
        <v>565</v>
      </c>
    </row>
    <row r="349" spans="1:76">
      <c r="A349" s="34"/>
      <c r="D349" s="35" t="s">
        <v>568</v>
      </c>
      <c r="E349" s="35" t="s">
        <v>56</v>
      </c>
      <c r="G349" s="36">
        <v>1</v>
      </c>
      <c r="P349" s="37"/>
    </row>
    <row r="350" spans="1:76">
      <c r="A350" s="38" t="s">
        <v>56</v>
      </c>
      <c r="B350" s="39" t="s">
        <v>56</v>
      </c>
      <c r="C350" s="39" t="s">
        <v>534</v>
      </c>
      <c r="D350" s="76" t="s">
        <v>569</v>
      </c>
      <c r="E350" s="77"/>
      <c r="F350" s="40" t="s">
        <v>4</v>
      </c>
      <c r="G350" s="40" t="s">
        <v>4</v>
      </c>
      <c r="H350" s="40" t="s">
        <v>4</v>
      </c>
      <c r="I350" s="40" t="s">
        <v>4</v>
      </c>
      <c r="J350" s="1">
        <f>SUM(J351:J358)</f>
        <v>39659.800029499995</v>
      </c>
      <c r="K350" s="1">
        <f>SUM(K351:K358)</f>
        <v>56156.199970500005</v>
      </c>
      <c r="L350" s="1">
        <f>SUM(L351:L358)</f>
        <v>95816</v>
      </c>
      <c r="M350" s="1">
        <f>SUM(M351:M358)</f>
        <v>115937.35999999999</v>
      </c>
      <c r="N350" s="12" t="s">
        <v>56</v>
      </c>
      <c r="O350" s="1">
        <f>SUM(O351:O358)</f>
        <v>0</v>
      </c>
      <c r="P350" s="41" t="s">
        <v>56</v>
      </c>
      <c r="AI350" s="12" t="s">
        <v>56</v>
      </c>
      <c r="AS350" s="1">
        <f>SUM(AJ351:AJ358)</f>
        <v>0</v>
      </c>
      <c r="AT350" s="1">
        <f>SUM(AK351:AK358)</f>
        <v>0</v>
      </c>
      <c r="AU350" s="1">
        <f>SUM(AL351:AL358)</f>
        <v>95816</v>
      </c>
    </row>
    <row r="351" spans="1:76">
      <c r="A351" s="2" t="s">
        <v>570</v>
      </c>
      <c r="B351" s="3" t="s">
        <v>56</v>
      </c>
      <c r="C351" s="3" t="s">
        <v>571</v>
      </c>
      <c r="D351" s="74" t="s">
        <v>572</v>
      </c>
      <c r="E351" s="75"/>
      <c r="F351" s="3" t="s">
        <v>84</v>
      </c>
      <c r="G351" s="31">
        <v>590</v>
      </c>
      <c r="H351" s="31">
        <v>119</v>
      </c>
      <c r="I351" s="32" t="s">
        <v>63</v>
      </c>
      <c r="J351" s="31">
        <f>G351*AO351</f>
        <v>39659.800029499995</v>
      </c>
      <c r="K351" s="31">
        <f>G351*AP351</f>
        <v>30550.199970500002</v>
      </c>
      <c r="L351" s="31">
        <f>G351*H351</f>
        <v>70210</v>
      </c>
      <c r="M351" s="31">
        <f>L351*(1+BW351/100)</f>
        <v>84954.099999999991</v>
      </c>
      <c r="N351" s="31">
        <v>0</v>
      </c>
      <c r="O351" s="31">
        <f>G351*N351</f>
        <v>0</v>
      </c>
      <c r="P351" s="33" t="s">
        <v>85</v>
      </c>
      <c r="Z351" s="31">
        <f>IF(AQ351="5",BJ351,0)</f>
        <v>0</v>
      </c>
      <c r="AB351" s="31">
        <f>IF(AQ351="1",BH351,0)</f>
        <v>39659.800029499995</v>
      </c>
      <c r="AC351" s="31">
        <f>IF(AQ351="1",BI351,0)</f>
        <v>30550.199970500002</v>
      </c>
      <c r="AD351" s="31">
        <f>IF(AQ351="7",BH351,0)</f>
        <v>0</v>
      </c>
      <c r="AE351" s="31">
        <f>IF(AQ351="7",BI351,0)</f>
        <v>0</v>
      </c>
      <c r="AF351" s="31">
        <f>IF(AQ351="2",BH351,0)</f>
        <v>0</v>
      </c>
      <c r="AG351" s="31">
        <f>IF(AQ351="2",BI351,0)</f>
        <v>0</v>
      </c>
      <c r="AH351" s="31">
        <f>IF(AQ351="0",BJ351,0)</f>
        <v>0</v>
      </c>
      <c r="AI351" s="12" t="s">
        <v>56</v>
      </c>
      <c r="AJ351" s="31">
        <f>IF(AN351=0,L351,0)</f>
        <v>0</v>
      </c>
      <c r="AK351" s="31">
        <f>IF(AN351=12,L351,0)</f>
        <v>0</v>
      </c>
      <c r="AL351" s="31">
        <f>IF(AN351=21,L351,0)</f>
        <v>70210</v>
      </c>
      <c r="AN351" s="31">
        <v>21</v>
      </c>
      <c r="AO351" s="31">
        <f>H351*0.56487395</f>
        <v>67.220000049999996</v>
      </c>
      <c r="AP351" s="31">
        <f>H351*(1-0.56487395)</f>
        <v>51.779999950000004</v>
      </c>
      <c r="AQ351" s="32" t="s">
        <v>59</v>
      </c>
      <c r="AV351" s="31">
        <f>AW351+AX351</f>
        <v>70210</v>
      </c>
      <c r="AW351" s="31">
        <f>G351*AO351</f>
        <v>39659.800029499995</v>
      </c>
      <c r="AX351" s="31">
        <f>G351*AP351</f>
        <v>30550.199970500002</v>
      </c>
      <c r="AY351" s="32" t="s">
        <v>573</v>
      </c>
      <c r="AZ351" s="32" t="s">
        <v>574</v>
      </c>
      <c r="BA351" s="12" t="s">
        <v>65</v>
      </c>
      <c r="BC351" s="31">
        <f>AW351+AX351</f>
        <v>70210</v>
      </c>
      <c r="BD351" s="31">
        <f>H351/(100-BE351)*100</f>
        <v>119</v>
      </c>
      <c r="BE351" s="31">
        <v>0</v>
      </c>
      <c r="BF351" s="31">
        <f>O351</f>
        <v>0</v>
      </c>
      <c r="BH351" s="31">
        <f>G351*AO351</f>
        <v>39659.800029499995</v>
      </c>
      <c r="BI351" s="31">
        <f>G351*AP351</f>
        <v>30550.199970500002</v>
      </c>
      <c r="BJ351" s="31">
        <f>G351*H351</f>
        <v>70210</v>
      </c>
      <c r="BK351" s="31"/>
      <c r="BL351" s="31">
        <v>91</v>
      </c>
      <c r="BW351" s="31" t="str">
        <f>I351</f>
        <v>21</v>
      </c>
      <c r="BX351" s="4" t="s">
        <v>572</v>
      </c>
    </row>
    <row r="352" spans="1:76">
      <c r="A352" s="34"/>
      <c r="D352" s="35" t="s">
        <v>575</v>
      </c>
      <c r="E352" s="35" t="s">
        <v>56</v>
      </c>
      <c r="G352" s="36">
        <v>12</v>
      </c>
      <c r="P352" s="37"/>
    </row>
    <row r="353" spans="1:76">
      <c r="A353" s="34"/>
      <c r="D353" s="35" t="s">
        <v>130</v>
      </c>
      <c r="E353" s="35" t="s">
        <v>56</v>
      </c>
      <c r="G353" s="36">
        <v>0</v>
      </c>
      <c r="P353" s="37"/>
    </row>
    <row r="354" spans="1:76">
      <c r="A354" s="34"/>
      <c r="D354" s="35" t="s">
        <v>576</v>
      </c>
      <c r="E354" s="35" t="s">
        <v>56</v>
      </c>
      <c r="G354" s="36">
        <v>0</v>
      </c>
      <c r="P354" s="37"/>
    </row>
    <row r="355" spans="1:76">
      <c r="A355" s="34"/>
      <c r="D355" s="35" t="s">
        <v>577</v>
      </c>
      <c r="E355" s="35" t="s">
        <v>56</v>
      </c>
      <c r="G355" s="36">
        <v>578</v>
      </c>
      <c r="P355" s="37"/>
    </row>
    <row r="356" spans="1:76">
      <c r="A356" s="34"/>
      <c r="D356" s="35" t="s">
        <v>578</v>
      </c>
      <c r="E356" s="35" t="s">
        <v>56</v>
      </c>
      <c r="G356" s="36">
        <v>0</v>
      </c>
      <c r="P356" s="37"/>
    </row>
    <row r="357" spans="1:76">
      <c r="A357" s="34"/>
      <c r="D357" s="35" t="s">
        <v>135</v>
      </c>
      <c r="E357" s="35" t="s">
        <v>56</v>
      </c>
      <c r="G357" s="36">
        <v>0</v>
      </c>
      <c r="P357" s="37"/>
    </row>
    <row r="358" spans="1:76">
      <c r="A358" s="2" t="s">
        <v>579</v>
      </c>
      <c r="B358" s="3" t="s">
        <v>56</v>
      </c>
      <c r="C358" s="3" t="s">
        <v>580</v>
      </c>
      <c r="D358" s="74" t="s">
        <v>581</v>
      </c>
      <c r="E358" s="75"/>
      <c r="F358" s="3" t="s">
        <v>84</v>
      </c>
      <c r="G358" s="31">
        <v>590</v>
      </c>
      <c r="H358" s="31">
        <v>43.4</v>
      </c>
      <c r="I358" s="32" t="s">
        <v>63</v>
      </c>
      <c r="J358" s="31">
        <f>G358*AO358</f>
        <v>0</v>
      </c>
      <c r="K358" s="31">
        <f>G358*AP358</f>
        <v>25606</v>
      </c>
      <c r="L358" s="31">
        <f>G358*H358</f>
        <v>25606</v>
      </c>
      <c r="M358" s="31">
        <f>L358*(1+BW358/100)</f>
        <v>30983.26</v>
      </c>
      <c r="N358" s="31">
        <v>0</v>
      </c>
      <c r="O358" s="31">
        <f>G358*N358</f>
        <v>0</v>
      </c>
      <c r="P358" s="33" t="s">
        <v>85</v>
      </c>
      <c r="Z358" s="31">
        <f>IF(AQ358="5",BJ358,0)</f>
        <v>0</v>
      </c>
      <c r="AB358" s="31">
        <f>IF(AQ358="1",BH358,0)</f>
        <v>0</v>
      </c>
      <c r="AC358" s="31">
        <f>IF(AQ358="1",BI358,0)</f>
        <v>25606</v>
      </c>
      <c r="AD358" s="31">
        <f>IF(AQ358="7",BH358,0)</f>
        <v>0</v>
      </c>
      <c r="AE358" s="31">
        <f>IF(AQ358="7",BI358,0)</f>
        <v>0</v>
      </c>
      <c r="AF358" s="31">
        <f>IF(AQ358="2",BH358,0)</f>
        <v>0</v>
      </c>
      <c r="AG358" s="31">
        <f>IF(AQ358="2",BI358,0)</f>
        <v>0</v>
      </c>
      <c r="AH358" s="31">
        <f>IF(AQ358="0",BJ358,0)</f>
        <v>0</v>
      </c>
      <c r="AI358" s="12" t="s">
        <v>56</v>
      </c>
      <c r="AJ358" s="31">
        <f>IF(AN358=0,L358,0)</f>
        <v>0</v>
      </c>
      <c r="AK358" s="31">
        <f>IF(AN358=12,L358,0)</f>
        <v>0</v>
      </c>
      <c r="AL358" s="31">
        <f>IF(AN358=21,L358,0)</f>
        <v>25606</v>
      </c>
      <c r="AN358" s="31">
        <v>21</v>
      </c>
      <c r="AO358" s="31">
        <f>H358*0</f>
        <v>0</v>
      </c>
      <c r="AP358" s="31">
        <f>H358*(1-0)</f>
        <v>43.4</v>
      </c>
      <c r="AQ358" s="32" t="s">
        <v>59</v>
      </c>
      <c r="AV358" s="31">
        <f>AW358+AX358</f>
        <v>25606</v>
      </c>
      <c r="AW358" s="31">
        <f>G358*AO358</f>
        <v>0</v>
      </c>
      <c r="AX358" s="31">
        <f>G358*AP358</f>
        <v>25606</v>
      </c>
      <c r="AY358" s="32" t="s">
        <v>573</v>
      </c>
      <c r="AZ358" s="32" t="s">
        <v>574</v>
      </c>
      <c r="BA358" s="12" t="s">
        <v>65</v>
      </c>
      <c r="BC358" s="31">
        <f>AW358+AX358</f>
        <v>25606</v>
      </c>
      <c r="BD358" s="31">
        <f>H358/(100-BE358)*100</f>
        <v>43.4</v>
      </c>
      <c r="BE358" s="31">
        <v>0</v>
      </c>
      <c r="BF358" s="31">
        <f>O358</f>
        <v>0</v>
      </c>
      <c r="BH358" s="31">
        <f>G358*AO358</f>
        <v>0</v>
      </c>
      <c r="BI358" s="31">
        <f>G358*AP358</f>
        <v>25606</v>
      </c>
      <c r="BJ358" s="31">
        <f>G358*H358</f>
        <v>25606</v>
      </c>
      <c r="BK358" s="31"/>
      <c r="BL358" s="31">
        <v>91</v>
      </c>
      <c r="BW358" s="31" t="str">
        <f>I358</f>
        <v>21</v>
      </c>
      <c r="BX358" s="4" t="s">
        <v>581</v>
      </c>
    </row>
    <row r="359" spans="1:76">
      <c r="A359" s="34"/>
      <c r="D359" s="35" t="s">
        <v>582</v>
      </c>
      <c r="E359" s="35" t="s">
        <v>56</v>
      </c>
      <c r="G359" s="36">
        <v>590</v>
      </c>
      <c r="P359" s="37"/>
    </row>
    <row r="360" spans="1:76">
      <c r="A360" s="38" t="s">
        <v>56</v>
      </c>
      <c r="B360" s="39" t="s">
        <v>56</v>
      </c>
      <c r="C360" s="39" t="s">
        <v>557</v>
      </c>
      <c r="D360" s="76" t="s">
        <v>583</v>
      </c>
      <c r="E360" s="77"/>
      <c r="F360" s="40" t="s">
        <v>4</v>
      </c>
      <c r="G360" s="40" t="s">
        <v>4</v>
      </c>
      <c r="H360" s="40" t="s">
        <v>4</v>
      </c>
      <c r="I360" s="40" t="s">
        <v>4</v>
      </c>
      <c r="J360" s="1">
        <f>SUM(J361:J361)</f>
        <v>0</v>
      </c>
      <c r="K360" s="1">
        <f>SUM(K361:K361)</f>
        <v>9704.3820000000014</v>
      </c>
      <c r="L360" s="1">
        <f>SUM(L361:L361)</f>
        <v>9704.3820000000014</v>
      </c>
      <c r="M360" s="1">
        <f>SUM(M361:M361)</f>
        <v>11742.302220000001</v>
      </c>
      <c r="N360" s="12" t="s">
        <v>56</v>
      </c>
      <c r="O360" s="1">
        <f>SUM(O361:O361)</f>
        <v>0</v>
      </c>
      <c r="P360" s="41" t="s">
        <v>56</v>
      </c>
      <c r="AI360" s="12" t="s">
        <v>56</v>
      </c>
      <c r="AS360" s="1">
        <f>SUM(AJ361:AJ361)</f>
        <v>0</v>
      </c>
      <c r="AT360" s="1">
        <f>SUM(AK361:AK361)</f>
        <v>0</v>
      </c>
      <c r="AU360" s="1">
        <f>SUM(AL361:AL361)</f>
        <v>9704.3820000000014</v>
      </c>
    </row>
    <row r="361" spans="1:76">
      <c r="A361" s="2" t="s">
        <v>584</v>
      </c>
      <c r="B361" s="3" t="s">
        <v>56</v>
      </c>
      <c r="C361" s="3" t="s">
        <v>585</v>
      </c>
      <c r="D361" s="74" t="s">
        <v>586</v>
      </c>
      <c r="E361" s="75"/>
      <c r="F361" s="3" t="s">
        <v>100</v>
      </c>
      <c r="G361" s="31">
        <v>213.8</v>
      </c>
      <c r="H361" s="31">
        <v>45.39</v>
      </c>
      <c r="I361" s="32" t="s">
        <v>63</v>
      </c>
      <c r="J361" s="31">
        <f>G361*AO361</f>
        <v>0</v>
      </c>
      <c r="K361" s="31">
        <f>G361*AP361</f>
        <v>9704.3820000000014</v>
      </c>
      <c r="L361" s="31">
        <f>G361*H361</f>
        <v>9704.3820000000014</v>
      </c>
      <c r="M361" s="31">
        <f>L361*(1+BW361/100)</f>
        <v>11742.302220000001</v>
      </c>
      <c r="N361" s="31">
        <v>0</v>
      </c>
      <c r="O361" s="31">
        <f>G361*N361</f>
        <v>0</v>
      </c>
      <c r="P361" s="33" t="s">
        <v>85</v>
      </c>
      <c r="Z361" s="31">
        <f>IF(AQ361="5",BJ361,0)</f>
        <v>0</v>
      </c>
      <c r="AB361" s="31">
        <f>IF(AQ361="1",BH361,0)</f>
        <v>0</v>
      </c>
      <c r="AC361" s="31">
        <f>IF(AQ361="1",BI361,0)</f>
        <v>9704.3820000000014</v>
      </c>
      <c r="AD361" s="31">
        <f>IF(AQ361="7",BH361,0)</f>
        <v>0</v>
      </c>
      <c r="AE361" s="31">
        <f>IF(AQ361="7",BI361,0)</f>
        <v>0</v>
      </c>
      <c r="AF361" s="31">
        <f>IF(AQ361="2",BH361,0)</f>
        <v>0</v>
      </c>
      <c r="AG361" s="31">
        <f>IF(AQ361="2",BI361,0)</f>
        <v>0</v>
      </c>
      <c r="AH361" s="31">
        <f>IF(AQ361="0",BJ361,0)</f>
        <v>0</v>
      </c>
      <c r="AI361" s="12" t="s">
        <v>56</v>
      </c>
      <c r="AJ361" s="31">
        <f>IF(AN361=0,L361,0)</f>
        <v>0</v>
      </c>
      <c r="AK361" s="31">
        <f>IF(AN361=12,L361,0)</f>
        <v>0</v>
      </c>
      <c r="AL361" s="31">
        <f>IF(AN361=21,L361,0)</f>
        <v>9704.3820000000014</v>
      </c>
      <c r="AN361" s="31">
        <v>21</v>
      </c>
      <c r="AO361" s="31">
        <f>H361*0</f>
        <v>0</v>
      </c>
      <c r="AP361" s="31">
        <f>H361*(1-0)</f>
        <v>45.39</v>
      </c>
      <c r="AQ361" s="32" t="s">
        <v>59</v>
      </c>
      <c r="AV361" s="31">
        <f>AW361+AX361</f>
        <v>9704.3820000000014</v>
      </c>
      <c r="AW361" s="31">
        <f>G361*AO361</f>
        <v>0</v>
      </c>
      <c r="AX361" s="31">
        <f>G361*AP361</f>
        <v>9704.3820000000014</v>
      </c>
      <c r="AY361" s="32" t="s">
        <v>587</v>
      </c>
      <c r="AZ361" s="32" t="s">
        <v>574</v>
      </c>
      <c r="BA361" s="12" t="s">
        <v>65</v>
      </c>
      <c r="BC361" s="31">
        <f>AW361+AX361</f>
        <v>9704.3820000000014</v>
      </c>
      <c r="BD361" s="31">
        <f>H361/(100-BE361)*100</f>
        <v>45.39</v>
      </c>
      <c r="BE361" s="31">
        <v>0</v>
      </c>
      <c r="BF361" s="31">
        <f>O361</f>
        <v>0</v>
      </c>
      <c r="BH361" s="31">
        <f>G361*AO361</f>
        <v>0</v>
      </c>
      <c r="BI361" s="31">
        <f>G361*AP361</f>
        <v>9704.3820000000014</v>
      </c>
      <c r="BJ361" s="31">
        <f>G361*H361</f>
        <v>9704.3820000000014</v>
      </c>
      <c r="BK361" s="31"/>
      <c r="BL361" s="31">
        <v>97</v>
      </c>
      <c r="BW361" s="31" t="str">
        <f>I361</f>
        <v>21</v>
      </c>
      <c r="BX361" s="4" t="s">
        <v>586</v>
      </c>
    </row>
    <row r="362" spans="1:76">
      <c r="A362" s="34"/>
      <c r="D362" s="35" t="s">
        <v>378</v>
      </c>
      <c r="E362" s="35" t="s">
        <v>56</v>
      </c>
      <c r="G362" s="36">
        <v>213.8</v>
      </c>
      <c r="P362" s="37"/>
    </row>
    <row r="363" spans="1:76">
      <c r="A363" s="38" t="s">
        <v>56</v>
      </c>
      <c r="B363" s="39" t="s">
        <v>56</v>
      </c>
      <c r="C363" s="39" t="s">
        <v>588</v>
      </c>
      <c r="D363" s="76" t="s">
        <v>589</v>
      </c>
      <c r="E363" s="77"/>
      <c r="F363" s="40" t="s">
        <v>4</v>
      </c>
      <c r="G363" s="40" t="s">
        <v>4</v>
      </c>
      <c r="H363" s="40" t="s">
        <v>4</v>
      </c>
      <c r="I363" s="40" t="s">
        <v>4</v>
      </c>
      <c r="J363" s="1">
        <f>SUM(J364:J366)</f>
        <v>0</v>
      </c>
      <c r="K363" s="1">
        <f>SUM(K364:K366)</f>
        <v>67143.546855799999</v>
      </c>
      <c r="L363" s="1">
        <f>SUM(L364:L366)</f>
        <v>67143.546855799999</v>
      </c>
      <c r="M363" s="1">
        <f>SUM(M364:M366)</f>
        <v>81243.691695517991</v>
      </c>
      <c r="N363" s="12" t="s">
        <v>56</v>
      </c>
      <c r="O363" s="1">
        <f>SUM(O364:O366)</f>
        <v>0</v>
      </c>
      <c r="P363" s="41" t="s">
        <v>56</v>
      </c>
      <c r="AI363" s="12" t="s">
        <v>56</v>
      </c>
      <c r="AS363" s="1">
        <f>SUM(AJ364:AJ366)</f>
        <v>0</v>
      </c>
      <c r="AT363" s="1">
        <f>SUM(AK364:AK366)</f>
        <v>0</v>
      </c>
      <c r="AU363" s="1">
        <f>SUM(AL364:AL366)</f>
        <v>67143.546855799999</v>
      </c>
    </row>
    <row r="364" spans="1:76">
      <c r="A364" s="2" t="s">
        <v>590</v>
      </c>
      <c r="B364" s="3" t="s">
        <v>56</v>
      </c>
      <c r="C364" s="3" t="s">
        <v>591</v>
      </c>
      <c r="D364" s="74" t="s">
        <v>592</v>
      </c>
      <c r="E364" s="75"/>
      <c r="F364" s="3" t="s">
        <v>593</v>
      </c>
      <c r="G364" s="31">
        <v>607.00220999999999</v>
      </c>
      <c r="H364" s="31">
        <v>67.8</v>
      </c>
      <c r="I364" s="32" t="s">
        <v>63</v>
      </c>
      <c r="J364" s="31">
        <f>G364*AO364</f>
        <v>0</v>
      </c>
      <c r="K364" s="31">
        <f>G364*AP364</f>
        <v>41154.749837999996</v>
      </c>
      <c r="L364" s="31">
        <f>G364*H364</f>
        <v>41154.749837999996</v>
      </c>
      <c r="M364" s="31">
        <f>L364*(1+BW364/100)</f>
        <v>49797.247303979995</v>
      </c>
      <c r="N364" s="31">
        <v>0</v>
      </c>
      <c r="O364" s="31">
        <f>G364*N364</f>
        <v>0</v>
      </c>
      <c r="P364" s="33" t="s">
        <v>85</v>
      </c>
      <c r="Z364" s="31">
        <f>IF(AQ364="5",BJ364,0)</f>
        <v>41154.749837999996</v>
      </c>
      <c r="AB364" s="31">
        <f>IF(AQ364="1",BH364,0)</f>
        <v>0</v>
      </c>
      <c r="AC364" s="31">
        <f>IF(AQ364="1",BI364,0)</f>
        <v>0</v>
      </c>
      <c r="AD364" s="31">
        <f>IF(AQ364="7",BH364,0)</f>
        <v>0</v>
      </c>
      <c r="AE364" s="31">
        <f>IF(AQ364="7",BI364,0)</f>
        <v>0</v>
      </c>
      <c r="AF364" s="31">
        <f>IF(AQ364="2",BH364,0)</f>
        <v>0</v>
      </c>
      <c r="AG364" s="31">
        <f>IF(AQ364="2",BI364,0)</f>
        <v>0</v>
      </c>
      <c r="AH364" s="31">
        <f>IF(AQ364="0",BJ364,0)</f>
        <v>0</v>
      </c>
      <c r="AI364" s="12" t="s">
        <v>56</v>
      </c>
      <c r="AJ364" s="31">
        <f>IF(AN364=0,L364,0)</f>
        <v>0</v>
      </c>
      <c r="AK364" s="31">
        <f>IF(AN364=12,L364,0)</f>
        <v>0</v>
      </c>
      <c r="AL364" s="31">
        <f>IF(AN364=21,L364,0)</f>
        <v>41154.749837999996</v>
      </c>
      <c r="AN364" s="31">
        <v>21</v>
      </c>
      <c r="AO364" s="31">
        <f>H364*0</f>
        <v>0</v>
      </c>
      <c r="AP364" s="31">
        <f>H364*(1-0)</f>
        <v>67.8</v>
      </c>
      <c r="AQ364" s="32" t="s">
        <v>81</v>
      </c>
      <c r="AV364" s="31">
        <f>AW364+AX364</f>
        <v>41154.749837999996</v>
      </c>
      <c r="AW364" s="31">
        <f>G364*AO364</f>
        <v>0</v>
      </c>
      <c r="AX364" s="31">
        <f>G364*AP364</f>
        <v>41154.749837999996</v>
      </c>
      <c r="AY364" s="32" t="s">
        <v>594</v>
      </c>
      <c r="AZ364" s="32" t="s">
        <v>574</v>
      </c>
      <c r="BA364" s="12" t="s">
        <v>65</v>
      </c>
      <c r="BC364" s="31">
        <f>AW364+AX364</f>
        <v>41154.749837999996</v>
      </c>
      <c r="BD364" s="31">
        <f>H364/(100-BE364)*100</f>
        <v>67.8</v>
      </c>
      <c r="BE364" s="31">
        <v>0</v>
      </c>
      <c r="BF364" s="31">
        <f>O364</f>
        <v>0</v>
      </c>
      <c r="BH364" s="31">
        <f>G364*AO364</f>
        <v>0</v>
      </c>
      <c r="BI364" s="31">
        <f>G364*AP364</f>
        <v>41154.749837999996</v>
      </c>
      <c r="BJ364" s="31">
        <f>G364*H364</f>
        <v>41154.749837999996</v>
      </c>
      <c r="BK364" s="31"/>
      <c r="BL364" s="31"/>
      <c r="BW364" s="31" t="str">
        <f>I364</f>
        <v>21</v>
      </c>
      <c r="BX364" s="4" t="s">
        <v>592</v>
      </c>
    </row>
    <row r="365" spans="1:76">
      <c r="A365" s="34"/>
      <c r="D365" s="35" t="s">
        <v>595</v>
      </c>
      <c r="E365" s="35" t="s">
        <v>56</v>
      </c>
      <c r="G365" s="36">
        <v>607.00220999999999</v>
      </c>
      <c r="P365" s="37"/>
    </row>
    <row r="366" spans="1:76">
      <c r="A366" s="2" t="s">
        <v>596</v>
      </c>
      <c r="B366" s="3" t="s">
        <v>56</v>
      </c>
      <c r="C366" s="3" t="s">
        <v>597</v>
      </c>
      <c r="D366" s="74" t="s">
        <v>598</v>
      </c>
      <c r="E366" s="75"/>
      <c r="F366" s="3" t="s">
        <v>593</v>
      </c>
      <c r="G366" s="31">
        <v>96.616219999999998</v>
      </c>
      <c r="H366" s="31">
        <v>268.99</v>
      </c>
      <c r="I366" s="32" t="s">
        <v>63</v>
      </c>
      <c r="J366" s="31">
        <f>G366*AO366</f>
        <v>0</v>
      </c>
      <c r="K366" s="31">
        <f>G366*AP366</f>
        <v>25988.7970178</v>
      </c>
      <c r="L366" s="31">
        <f>G366*H366</f>
        <v>25988.7970178</v>
      </c>
      <c r="M366" s="31">
        <f>L366*(1+BW366/100)</f>
        <v>31446.444391538</v>
      </c>
      <c r="N366" s="31">
        <v>0</v>
      </c>
      <c r="O366" s="31">
        <f>G366*N366</f>
        <v>0</v>
      </c>
      <c r="P366" s="33" t="s">
        <v>85</v>
      </c>
      <c r="Z366" s="31">
        <f>IF(AQ366="5",BJ366,0)</f>
        <v>25988.7970178</v>
      </c>
      <c r="AB366" s="31">
        <f>IF(AQ366="1",BH366,0)</f>
        <v>0</v>
      </c>
      <c r="AC366" s="31">
        <f>IF(AQ366="1",BI366,0)</f>
        <v>0</v>
      </c>
      <c r="AD366" s="31">
        <f>IF(AQ366="7",BH366,0)</f>
        <v>0</v>
      </c>
      <c r="AE366" s="31">
        <f>IF(AQ366="7",BI366,0)</f>
        <v>0</v>
      </c>
      <c r="AF366" s="31">
        <f>IF(AQ366="2",BH366,0)</f>
        <v>0</v>
      </c>
      <c r="AG366" s="31">
        <f>IF(AQ366="2",BI366,0)</f>
        <v>0</v>
      </c>
      <c r="AH366" s="31">
        <f>IF(AQ366="0",BJ366,0)</f>
        <v>0</v>
      </c>
      <c r="AI366" s="12" t="s">
        <v>56</v>
      </c>
      <c r="AJ366" s="31">
        <f>IF(AN366=0,L366,0)</f>
        <v>0</v>
      </c>
      <c r="AK366" s="31">
        <f>IF(AN366=12,L366,0)</f>
        <v>0</v>
      </c>
      <c r="AL366" s="31">
        <f>IF(AN366=21,L366,0)</f>
        <v>25988.7970178</v>
      </c>
      <c r="AN366" s="31">
        <v>21</v>
      </c>
      <c r="AO366" s="31">
        <f>H366*0</f>
        <v>0</v>
      </c>
      <c r="AP366" s="31">
        <f>H366*(1-0)</f>
        <v>268.99</v>
      </c>
      <c r="AQ366" s="32" t="s">
        <v>81</v>
      </c>
      <c r="AV366" s="31">
        <f>AW366+AX366</f>
        <v>25988.7970178</v>
      </c>
      <c r="AW366" s="31">
        <f>G366*AO366</f>
        <v>0</v>
      </c>
      <c r="AX366" s="31">
        <f>G366*AP366</f>
        <v>25988.7970178</v>
      </c>
      <c r="AY366" s="32" t="s">
        <v>594</v>
      </c>
      <c r="AZ366" s="32" t="s">
        <v>574</v>
      </c>
      <c r="BA366" s="12" t="s">
        <v>65</v>
      </c>
      <c r="BC366" s="31">
        <f>AW366+AX366</f>
        <v>25988.7970178</v>
      </c>
      <c r="BD366" s="31">
        <f>H366/(100-BE366)*100</f>
        <v>268.99</v>
      </c>
      <c r="BE366" s="31">
        <v>0</v>
      </c>
      <c r="BF366" s="31">
        <f>O366</f>
        <v>0</v>
      </c>
      <c r="BH366" s="31">
        <f>G366*AO366</f>
        <v>0</v>
      </c>
      <c r="BI366" s="31">
        <f>G366*AP366</f>
        <v>25988.7970178</v>
      </c>
      <c r="BJ366" s="31">
        <f>G366*H366</f>
        <v>25988.7970178</v>
      </c>
      <c r="BK366" s="31"/>
      <c r="BL366" s="31"/>
      <c r="BW366" s="31" t="str">
        <f>I366</f>
        <v>21</v>
      </c>
      <c r="BX366" s="4" t="s">
        <v>598</v>
      </c>
    </row>
    <row r="367" spans="1:76">
      <c r="A367" s="34"/>
      <c r="D367" s="35" t="s">
        <v>599</v>
      </c>
      <c r="E367" s="35" t="s">
        <v>56</v>
      </c>
      <c r="G367" s="36">
        <v>96.616219999999998</v>
      </c>
      <c r="P367" s="37"/>
    </row>
    <row r="368" spans="1:76">
      <c r="A368" s="38" t="s">
        <v>56</v>
      </c>
      <c r="B368" s="39" t="s">
        <v>56</v>
      </c>
      <c r="C368" s="39" t="s">
        <v>600</v>
      </c>
      <c r="D368" s="76" t="s">
        <v>601</v>
      </c>
      <c r="E368" s="77"/>
      <c r="F368" s="40" t="s">
        <v>4</v>
      </c>
      <c r="G368" s="40" t="s">
        <v>4</v>
      </c>
      <c r="H368" s="40" t="s">
        <v>4</v>
      </c>
      <c r="I368" s="40" t="s">
        <v>4</v>
      </c>
      <c r="J368" s="1">
        <f>SUM(J369:J369)</f>
        <v>0</v>
      </c>
      <c r="K368" s="1">
        <f>SUM(K369:K369)</f>
        <v>373024.16921999998</v>
      </c>
      <c r="L368" s="1">
        <f>SUM(L369:L369)</f>
        <v>373024.16921999998</v>
      </c>
      <c r="M368" s="1">
        <f>SUM(M369:M369)</f>
        <v>451359.24475619994</v>
      </c>
      <c r="N368" s="12" t="s">
        <v>56</v>
      </c>
      <c r="O368" s="1">
        <f>SUM(O369:O369)</f>
        <v>0</v>
      </c>
      <c r="P368" s="41" t="s">
        <v>56</v>
      </c>
      <c r="AI368" s="12" t="s">
        <v>56</v>
      </c>
      <c r="AS368" s="1">
        <f>SUM(AJ369:AJ369)</f>
        <v>0</v>
      </c>
      <c r="AT368" s="1">
        <f>SUM(AK369:AK369)</f>
        <v>0</v>
      </c>
      <c r="AU368" s="1">
        <f>SUM(AL369:AL369)</f>
        <v>373024.16921999998</v>
      </c>
    </row>
    <row r="369" spans="1:76">
      <c r="A369" s="2" t="s">
        <v>602</v>
      </c>
      <c r="B369" s="3" t="s">
        <v>56</v>
      </c>
      <c r="C369" s="3" t="s">
        <v>603</v>
      </c>
      <c r="D369" s="74" t="s">
        <v>604</v>
      </c>
      <c r="E369" s="75"/>
      <c r="F369" s="3" t="s">
        <v>593</v>
      </c>
      <c r="G369" s="31">
        <v>2233.6776599999998</v>
      </c>
      <c r="H369" s="31">
        <v>167</v>
      </c>
      <c r="I369" s="32" t="s">
        <v>63</v>
      </c>
      <c r="J369" s="31">
        <f>G369*AO369</f>
        <v>0</v>
      </c>
      <c r="K369" s="31">
        <f>G369*AP369</f>
        <v>373024.16921999998</v>
      </c>
      <c r="L369" s="31">
        <f>G369*H369</f>
        <v>373024.16921999998</v>
      </c>
      <c r="M369" s="31">
        <f>L369*(1+BW369/100)</f>
        <v>451359.24475619994</v>
      </c>
      <c r="N369" s="31">
        <v>0</v>
      </c>
      <c r="O369" s="31">
        <f>G369*N369</f>
        <v>0</v>
      </c>
      <c r="P369" s="33" t="s">
        <v>85</v>
      </c>
      <c r="Z369" s="31">
        <f>IF(AQ369="5",BJ369,0)</f>
        <v>373024.16921999998</v>
      </c>
      <c r="AB369" s="31">
        <f>IF(AQ369="1",BH369,0)</f>
        <v>0</v>
      </c>
      <c r="AC369" s="31">
        <f>IF(AQ369="1",BI369,0)</f>
        <v>0</v>
      </c>
      <c r="AD369" s="31">
        <f>IF(AQ369="7",BH369,0)</f>
        <v>0</v>
      </c>
      <c r="AE369" s="31">
        <f>IF(AQ369="7",BI369,0)</f>
        <v>0</v>
      </c>
      <c r="AF369" s="31">
        <f>IF(AQ369="2",BH369,0)</f>
        <v>0</v>
      </c>
      <c r="AG369" s="31">
        <f>IF(AQ369="2",BI369,0)</f>
        <v>0</v>
      </c>
      <c r="AH369" s="31">
        <f>IF(AQ369="0",BJ369,0)</f>
        <v>0</v>
      </c>
      <c r="AI369" s="12" t="s">
        <v>56</v>
      </c>
      <c r="AJ369" s="31">
        <f>IF(AN369=0,L369,0)</f>
        <v>0</v>
      </c>
      <c r="AK369" s="31">
        <f>IF(AN369=12,L369,0)</f>
        <v>0</v>
      </c>
      <c r="AL369" s="31">
        <f>IF(AN369=21,L369,0)</f>
        <v>373024.16921999998</v>
      </c>
      <c r="AN369" s="31">
        <v>21</v>
      </c>
      <c r="AO369" s="31">
        <f>H369*0</f>
        <v>0</v>
      </c>
      <c r="AP369" s="31">
        <f>H369*(1-0)</f>
        <v>167</v>
      </c>
      <c r="AQ369" s="32" t="s">
        <v>81</v>
      </c>
      <c r="AV369" s="31">
        <f>AW369+AX369</f>
        <v>373024.16921999998</v>
      </c>
      <c r="AW369" s="31">
        <f>G369*AO369</f>
        <v>0</v>
      </c>
      <c r="AX369" s="31">
        <f>G369*AP369</f>
        <v>373024.16921999998</v>
      </c>
      <c r="AY369" s="32" t="s">
        <v>605</v>
      </c>
      <c r="AZ369" s="32" t="s">
        <v>574</v>
      </c>
      <c r="BA369" s="12" t="s">
        <v>65</v>
      </c>
      <c r="BC369" s="31">
        <f>AW369+AX369</f>
        <v>373024.16921999998</v>
      </c>
      <c r="BD369" s="31">
        <f>H369/(100-BE369)*100</f>
        <v>167</v>
      </c>
      <c r="BE369" s="31">
        <v>0</v>
      </c>
      <c r="BF369" s="31">
        <f>O369</f>
        <v>0</v>
      </c>
      <c r="BH369" s="31">
        <f>G369*AO369</f>
        <v>0</v>
      </c>
      <c r="BI369" s="31">
        <f>G369*AP369</f>
        <v>373024.16921999998</v>
      </c>
      <c r="BJ369" s="31">
        <f>G369*H369</f>
        <v>373024.16921999998</v>
      </c>
      <c r="BK369" s="31"/>
      <c r="BL369" s="31"/>
      <c r="BW369" s="31" t="str">
        <f>I369</f>
        <v>21</v>
      </c>
      <c r="BX369" s="4" t="s">
        <v>604</v>
      </c>
    </row>
    <row r="370" spans="1:76">
      <c r="A370" s="34"/>
      <c r="D370" s="35" t="s">
        <v>606</v>
      </c>
      <c r="E370" s="35" t="s">
        <v>56</v>
      </c>
      <c r="G370" s="36">
        <v>2233.6776599999998</v>
      </c>
      <c r="P370" s="37"/>
    </row>
    <row r="371" spans="1:76">
      <c r="A371" s="38" t="s">
        <v>56</v>
      </c>
      <c r="B371" s="39" t="s">
        <v>56</v>
      </c>
      <c r="C371" s="39" t="s">
        <v>607</v>
      </c>
      <c r="D371" s="76" t="s">
        <v>608</v>
      </c>
      <c r="E371" s="77"/>
      <c r="F371" s="40" t="s">
        <v>4</v>
      </c>
      <c r="G371" s="40" t="s">
        <v>4</v>
      </c>
      <c r="H371" s="40" t="s">
        <v>4</v>
      </c>
      <c r="I371" s="40" t="s">
        <v>4</v>
      </c>
      <c r="J371" s="1">
        <f>SUM(J372:J372)</f>
        <v>135.23258977356778</v>
      </c>
      <c r="K371" s="1">
        <f>SUM(K372:K372)</f>
        <v>37.385610226432206</v>
      </c>
      <c r="L371" s="1">
        <f>SUM(L372:L372)</f>
        <v>172.6182</v>
      </c>
      <c r="M371" s="1">
        <f>SUM(M372:M372)</f>
        <v>208.868022</v>
      </c>
      <c r="N371" s="12" t="s">
        <v>56</v>
      </c>
      <c r="O371" s="1">
        <f>SUM(O372:O372)</f>
        <v>0.30347999999999997</v>
      </c>
      <c r="P371" s="41" t="s">
        <v>56</v>
      </c>
      <c r="AI371" s="12" t="s">
        <v>56</v>
      </c>
      <c r="AS371" s="1">
        <f>SUM(AJ372:AJ372)</f>
        <v>0</v>
      </c>
      <c r="AT371" s="1">
        <f>SUM(AK372:AK372)</f>
        <v>0</v>
      </c>
      <c r="AU371" s="1">
        <f>SUM(AL372:AL372)</f>
        <v>172.6182</v>
      </c>
    </row>
    <row r="372" spans="1:76">
      <c r="A372" s="2" t="s">
        <v>609</v>
      </c>
      <c r="B372" s="3" t="s">
        <v>56</v>
      </c>
      <c r="C372" s="3" t="s">
        <v>610</v>
      </c>
      <c r="D372" s="74" t="s">
        <v>611</v>
      </c>
      <c r="E372" s="75"/>
      <c r="F372" s="3" t="s">
        <v>118</v>
      </c>
      <c r="G372" s="31">
        <v>0.18</v>
      </c>
      <c r="H372" s="31">
        <v>958.99</v>
      </c>
      <c r="I372" s="32" t="s">
        <v>63</v>
      </c>
      <c r="J372" s="31">
        <f>G372*AO372</f>
        <v>135.23258977356778</v>
      </c>
      <c r="K372" s="31">
        <f>G372*AP372</f>
        <v>37.385610226432206</v>
      </c>
      <c r="L372" s="31">
        <f>G372*H372</f>
        <v>172.6182</v>
      </c>
      <c r="M372" s="31">
        <f>L372*(1+BW372/100)</f>
        <v>208.868022</v>
      </c>
      <c r="N372" s="31">
        <v>1.6859999999999999</v>
      </c>
      <c r="O372" s="31">
        <f>G372*N372</f>
        <v>0.30347999999999997</v>
      </c>
      <c r="P372" s="33" t="s">
        <v>85</v>
      </c>
      <c r="Z372" s="31">
        <f>IF(AQ372="5",BJ372,0)</f>
        <v>0</v>
      </c>
      <c r="AB372" s="31">
        <f>IF(AQ372="1",BH372,0)</f>
        <v>0</v>
      </c>
      <c r="AC372" s="31">
        <f>IF(AQ372="1",BI372,0)</f>
        <v>0</v>
      </c>
      <c r="AD372" s="31">
        <f>IF(AQ372="7",BH372,0)</f>
        <v>0</v>
      </c>
      <c r="AE372" s="31">
        <f>IF(AQ372="7",BI372,0)</f>
        <v>0</v>
      </c>
      <c r="AF372" s="31">
        <f>IF(AQ372="2",BH372,0)</f>
        <v>135.23258977356778</v>
      </c>
      <c r="AG372" s="31">
        <f>IF(AQ372="2",BI372,0)</f>
        <v>37.385610226432206</v>
      </c>
      <c r="AH372" s="31">
        <f>IF(AQ372="0",BJ372,0)</f>
        <v>0</v>
      </c>
      <c r="AI372" s="12" t="s">
        <v>56</v>
      </c>
      <c r="AJ372" s="31">
        <f>IF(AN372=0,L372,0)</f>
        <v>0</v>
      </c>
      <c r="AK372" s="31">
        <f>IF(AN372=12,L372,0)</f>
        <v>0</v>
      </c>
      <c r="AL372" s="31">
        <f>IF(AN372=21,L372,0)</f>
        <v>172.6182</v>
      </c>
      <c r="AN372" s="31">
        <v>21</v>
      </c>
      <c r="AO372" s="31">
        <f>H372*0.783420229</f>
        <v>751.29216540870993</v>
      </c>
      <c r="AP372" s="31">
        <f>H372*(1-0.783420229)</f>
        <v>207.69783459129005</v>
      </c>
      <c r="AQ372" s="32" t="s">
        <v>67</v>
      </c>
      <c r="AV372" s="31">
        <f>AW372+AX372</f>
        <v>172.6182</v>
      </c>
      <c r="AW372" s="31">
        <f>G372*AO372</f>
        <v>135.23258977356778</v>
      </c>
      <c r="AX372" s="31">
        <f>G372*AP372</f>
        <v>37.385610226432206</v>
      </c>
      <c r="AY372" s="32" t="s">
        <v>612</v>
      </c>
      <c r="AZ372" s="32" t="s">
        <v>574</v>
      </c>
      <c r="BA372" s="12" t="s">
        <v>65</v>
      </c>
      <c r="BC372" s="31">
        <f>AW372+AX372</f>
        <v>172.6182</v>
      </c>
      <c r="BD372" s="31">
        <f>H372/(100-BE372)*100</f>
        <v>958.99</v>
      </c>
      <c r="BE372" s="31">
        <v>0</v>
      </c>
      <c r="BF372" s="31">
        <f>O372</f>
        <v>0.30347999999999997</v>
      </c>
      <c r="BH372" s="31">
        <f>G372*AO372</f>
        <v>135.23258977356778</v>
      </c>
      <c r="BI372" s="31">
        <f>G372*AP372</f>
        <v>37.385610226432206</v>
      </c>
      <c r="BJ372" s="31">
        <f>G372*H372</f>
        <v>172.6182</v>
      </c>
      <c r="BK372" s="31"/>
      <c r="BL372" s="31"/>
      <c r="BW372" s="31" t="str">
        <f>I372</f>
        <v>21</v>
      </c>
      <c r="BX372" s="4" t="s">
        <v>611</v>
      </c>
    </row>
    <row r="373" spans="1:76">
      <c r="A373" s="34"/>
      <c r="D373" s="35" t="s">
        <v>613</v>
      </c>
      <c r="E373" s="35" t="s">
        <v>56</v>
      </c>
      <c r="G373" s="36">
        <v>0.18</v>
      </c>
      <c r="P373" s="37"/>
    </row>
    <row r="374" spans="1:76">
      <c r="A374" s="38" t="s">
        <v>56</v>
      </c>
      <c r="B374" s="39" t="s">
        <v>56</v>
      </c>
      <c r="C374" s="39" t="s">
        <v>614</v>
      </c>
      <c r="D374" s="76" t="s">
        <v>615</v>
      </c>
      <c r="E374" s="77"/>
      <c r="F374" s="40" t="s">
        <v>4</v>
      </c>
      <c r="G374" s="40" t="s">
        <v>4</v>
      </c>
      <c r="H374" s="40" t="s">
        <v>4</v>
      </c>
      <c r="I374" s="40" t="s">
        <v>4</v>
      </c>
      <c r="J374" s="1">
        <f>SUM(J375:J387)</f>
        <v>0</v>
      </c>
      <c r="K374" s="1">
        <f>SUM(K375:K387)</f>
        <v>1338679.9084483001</v>
      </c>
      <c r="L374" s="1">
        <f>SUM(L375:L387)</f>
        <v>1338679.9084483001</v>
      </c>
      <c r="M374" s="1">
        <f>SUM(M375:M387)</f>
        <v>1619802.6892224429</v>
      </c>
      <c r="N374" s="12" t="s">
        <v>56</v>
      </c>
      <c r="O374" s="1">
        <f>SUM(O375:O387)</f>
        <v>0</v>
      </c>
      <c r="P374" s="41" t="s">
        <v>56</v>
      </c>
      <c r="AI374" s="12" t="s">
        <v>56</v>
      </c>
      <c r="AS374" s="1">
        <f>SUM(AJ375:AJ387)</f>
        <v>0</v>
      </c>
      <c r="AT374" s="1">
        <f>SUM(AK375:AK387)</f>
        <v>0</v>
      </c>
      <c r="AU374" s="1">
        <f>SUM(AL375:AL387)</f>
        <v>1338679.9084483001</v>
      </c>
    </row>
    <row r="375" spans="1:76">
      <c r="A375" s="2" t="s">
        <v>616</v>
      </c>
      <c r="B375" s="3" t="s">
        <v>56</v>
      </c>
      <c r="C375" s="3" t="s">
        <v>617</v>
      </c>
      <c r="D375" s="74" t="s">
        <v>618</v>
      </c>
      <c r="E375" s="75"/>
      <c r="F375" s="3" t="s">
        <v>593</v>
      </c>
      <c r="G375" s="31">
        <v>500.56267000000003</v>
      </c>
      <c r="H375" s="31">
        <v>821.99</v>
      </c>
      <c r="I375" s="32" t="s">
        <v>63</v>
      </c>
      <c r="J375" s="31">
        <f>G375*AO375</f>
        <v>0</v>
      </c>
      <c r="K375" s="31">
        <f>G375*AP375</f>
        <v>411457.50911330001</v>
      </c>
      <c r="L375" s="31">
        <f>G375*H375</f>
        <v>411457.50911330001</v>
      </c>
      <c r="M375" s="31">
        <f>L375*(1+BW375/100)</f>
        <v>497863.586027093</v>
      </c>
      <c r="N375" s="31">
        <v>0</v>
      </c>
      <c r="O375" s="31">
        <f>G375*N375</f>
        <v>0</v>
      </c>
      <c r="P375" s="33" t="s">
        <v>85</v>
      </c>
      <c r="Z375" s="31">
        <f>IF(AQ375="5",BJ375,0)</f>
        <v>411457.50911330001</v>
      </c>
      <c r="AB375" s="31">
        <f>IF(AQ375="1",BH375,0)</f>
        <v>0</v>
      </c>
      <c r="AC375" s="31">
        <f>IF(AQ375="1",BI375,0)</f>
        <v>0</v>
      </c>
      <c r="AD375" s="31">
        <f>IF(AQ375="7",BH375,0)</f>
        <v>0</v>
      </c>
      <c r="AE375" s="31">
        <f>IF(AQ375="7",BI375,0)</f>
        <v>0</v>
      </c>
      <c r="AF375" s="31">
        <f>IF(AQ375="2",BH375,0)</f>
        <v>0</v>
      </c>
      <c r="AG375" s="31">
        <f>IF(AQ375="2",BI375,0)</f>
        <v>0</v>
      </c>
      <c r="AH375" s="31">
        <f>IF(AQ375="0",BJ375,0)</f>
        <v>0</v>
      </c>
      <c r="AI375" s="12" t="s">
        <v>56</v>
      </c>
      <c r="AJ375" s="31">
        <f>IF(AN375=0,L375,0)</f>
        <v>0</v>
      </c>
      <c r="AK375" s="31">
        <f>IF(AN375=12,L375,0)</f>
        <v>0</v>
      </c>
      <c r="AL375" s="31">
        <f>IF(AN375=21,L375,0)</f>
        <v>411457.50911330001</v>
      </c>
      <c r="AN375" s="31">
        <v>21</v>
      </c>
      <c r="AO375" s="31">
        <f>H375*0</f>
        <v>0</v>
      </c>
      <c r="AP375" s="31">
        <f>H375*(1-0)</f>
        <v>821.99</v>
      </c>
      <c r="AQ375" s="32" t="s">
        <v>81</v>
      </c>
      <c r="AV375" s="31">
        <f>AW375+AX375</f>
        <v>411457.50911330001</v>
      </c>
      <c r="AW375" s="31">
        <f>G375*AO375</f>
        <v>0</v>
      </c>
      <c r="AX375" s="31">
        <f>G375*AP375</f>
        <v>411457.50911330001</v>
      </c>
      <c r="AY375" s="32" t="s">
        <v>619</v>
      </c>
      <c r="AZ375" s="32" t="s">
        <v>574</v>
      </c>
      <c r="BA375" s="12" t="s">
        <v>65</v>
      </c>
      <c r="BC375" s="31">
        <f>AW375+AX375</f>
        <v>411457.50911330001</v>
      </c>
      <c r="BD375" s="31">
        <f>H375/(100-BE375)*100</f>
        <v>821.99000000000012</v>
      </c>
      <c r="BE375" s="31">
        <v>0</v>
      </c>
      <c r="BF375" s="31">
        <f>O375</f>
        <v>0</v>
      </c>
      <c r="BH375" s="31">
        <f>G375*AO375</f>
        <v>0</v>
      </c>
      <c r="BI375" s="31">
        <f>G375*AP375</f>
        <v>411457.50911330001</v>
      </c>
      <c r="BJ375" s="31">
        <f>G375*H375</f>
        <v>411457.50911330001</v>
      </c>
      <c r="BK375" s="31"/>
      <c r="BL375" s="31"/>
      <c r="BW375" s="31" t="str">
        <f>I375</f>
        <v>21</v>
      </c>
      <c r="BX375" s="4" t="s">
        <v>618</v>
      </c>
    </row>
    <row r="376" spans="1:76">
      <c r="A376" s="34"/>
      <c r="D376" s="35" t="s">
        <v>620</v>
      </c>
      <c r="E376" s="35" t="s">
        <v>56</v>
      </c>
      <c r="G376" s="36">
        <v>500.56267000000003</v>
      </c>
      <c r="P376" s="37"/>
    </row>
    <row r="377" spans="1:76">
      <c r="A377" s="2" t="s">
        <v>621</v>
      </c>
      <c r="B377" s="3" t="s">
        <v>56</v>
      </c>
      <c r="C377" s="3" t="s">
        <v>622</v>
      </c>
      <c r="D377" s="74" t="s">
        <v>623</v>
      </c>
      <c r="E377" s="75"/>
      <c r="F377" s="3" t="s">
        <v>593</v>
      </c>
      <c r="G377" s="31">
        <v>500.56267000000003</v>
      </c>
      <c r="H377" s="31">
        <v>275.5</v>
      </c>
      <c r="I377" s="32" t="s">
        <v>63</v>
      </c>
      <c r="J377" s="31">
        <f>G377*AO377</f>
        <v>0</v>
      </c>
      <c r="K377" s="31">
        <f>G377*AP377</f>
        <v>137905.01558500002</v>
      </c>
      <c r="L377" s="31">
        <f>G377*H377</f>
        <v>137905.01558500002</v>
      </c>
      <c r="M377" s="31">
        <f>L377*(1+BW377/100)</f>
        <v>166865.06885785001</v>
      </c>
      <c r="N377" s="31">
        <v>0</v>
      </c>
      <c r="O377" s="31">
        <f>G377*N377</f>
        <v>0</v>
      </c>
      <c r="P377" s="33" t="s">
        <v>85</v>
      </c>
      <c r="Z377" s="31">
        <f>IF(AQ377="5",BJ377,0)</f>
        <v>137905.01558500002</v>
      </c>
      <c r="AB377" s="31">
        <f>IF(AQ377="1",BH377,0)</f>
        <v>0</v>
      </c>
      <c r="AC377" s="31">
        <f>IF(AQ377="1",BI377,0)</f>
        <v>0</v>
      </c>
      <c r="AD377" s="31">
        <f>IF(AQ377="7",BH377,0)</f>
        <v>0</v>
      </c>
      <c r="AE377" s="31">
        <f>IF(AQ377="7",BI377,0)</f>
        <v>0</v>
      </c>
      <c r="AF377" s="31">
        <f>IF(AQ377="2",BH377,0)</f>
        <v>0</v>
      </c>
      <c r="AG377" s="31">
        <f>IF(AQ377="2",BI377,0)</f>
        <v>0</v>
      </c>
      <c r="AH377" s="31">
        <f>IF(AQ377="0",BJ377,0)</f>
        <v>0</v>
      </c>
      <c r="AI377" s="12" t="s">
        <v>56</v>
      </c>
      <c r="AJ377" s="31">
        <f>IF(AN377=0,L377,0)</f>
        <v>0</v>
      </c>
      <c r="AK377" s="31">
        <f>IF(AN377=12,L377,0)</f>
        <v>0</v>
      </c>
      <c r="AL377" s="31">
        <f>IF(AN377=21,L377,0)</f>
        <v>137905.01558500002</v>
      </c>
      <c r="AN377" s="31">
        <v>21</v>
      </c>
      <c r="AO377" s="31">
        <f>H377*0</f>
        <v>0</v>
      </c>
      <c r="AP377" s="31">
        <f>H377*(1-0)</f>
        <v>275.5</v>
      </c>
      <c r="AQ377" s="32" t="s">
        <v>81</v>
      </c>
      <c r="AV377" s="31">
        <f>AW377+AX377</f>
        <v>137905.01558500002</v>
      </c>
      <c r="AW377" s="31">
        <f>G377*AO377</f>
        <v>0</v>
      </c>
      <c r="AX377" s="31">
        <f>G377*AP377</f>
        <v>137905.01558500002</v>
      </c>
      <c r="AY377" s="32" t="s">
        <v>619</v>
      </c>
      <c r="AZ377" s="32" t="s">
        <v>574</v>
      </c>
      <c r="BA377" s="12" t="s">
        <v>65</v>
      </c>
      <c r="BC377" s="31">
        <f>AW377+AX377</f>
        <v>137905.01558500002</v>
      </c>
      <c r="BD377" s="31">
        <f>H377/(100-BE377)*100</f>
        <v>275.5</v>
      </c>
      <c r="BE377" s="31">
        <v>0</v>
      </c>
      <c r="BF377" s="31">
        <f>O377</f>
        <v>0</v>
      </c>
      <c r="BH377" s="31">
        <f>G377*AO377</f>
        <v>0</v>
      </c>
      <c r="BI377" s="31">
        <f>G377*AP377</f>
        <v>137905.01558500002</v>
      </c>
      <c r="BJ377" s="31">
        <f>G377*H377</f>
        <v>137905.01558500002</v>
      </c>
      <c r="BK377" s="31"/>
      <c r="BL377" s="31"/>
      <c r="BW377" s="31" t="str">
        <f>I377</f>
        <v>21</v>
      </c>
      <c r="BX377" s="4" t="s">
        <v>623</v>
      </c>
    </row>
    <row r="378" spans="1:76">
      <c r="A378" s="34"/>
      <c r="D378" s="35" t="s">
        <v>620</v>
      </c>
      <c r="E378" s="35" t="s">
        <v>56</v>
      </c>
      <c r="G378" s="36">
        <v>500.56267000000003</v>
      </c>
      <c r="P378" s="37"/>
    </row>
    <row r="379" spans="1:76">
      <c r="A379" s="2" t="s">
        <v>624</v>
      </c>
      <c r="B379" s="3" t="s">
        <v>56</v>
      </c>
      <c r="C379" s="3" t="s">
        <v>625</v>
      </c>
      <c r="D379" s="74" t="s">
        <v>626</v>
      </c>
      <c r="E379" s="75"/>
      <c r="F379" s="3" t="s">
        <v>593</v>
      </c>
      <c r="G379" s="31">
        <v>9510.6907300000003</v>
      </c>
      <c r="H379" s="31">
        <v>25</v>
      </c>
      <c r="I379" s="32" t="s">
        <v>63</v>
      </c>
      <c r="J379" s="31">
        <f>G379*AO379</f>
        <v>0</v>
      </c>
      <c r="K379" s="31">
        <f>G379*AP379</f>
        <v>237767.26824999999</v>
      </c>
      <c r="L379" s="31">
        <f>G379*H379</f>
        <v>237767.26824999999</v>
      </c>
      <c r="M379" s="31">
        <f>L379*(1+BW379/100)</f>
        <v>287698.39458249998</v>
      </c>
      <c r="N379" s="31">
        <v>0</v>
      </c>
      <c r="O379" s="31">
        <f>G379*N379</f>
        <v>0</v>
      </c>
      <c r="P379" s="33" t="s">
        <v>85</v>
      </c>
      <c r="Z379" s="31">
        <f>IF(AQ379="5",BJ379,0)</f>
        <v>237767.26824999999</v>
      </c>
      <c r="AB379" s="31">
        <f>IF(AQ379="1",BH379,0)</f>
        <v>0</v>
      </c>
      <c r="AC379" s="31">
        <f>IF(AQ379="1",BI379,0)</f>
        <v>0</v>
      </c>
      <c r="AD379" s="31">
        <f>IF(AQ379="7",BH379,0)</f>
        <v>0</v>
      </c>
      <c r="AE379" s="31">
        <f>IF(AQ379="7",BI379,0)</f>
        <v>0</v>
      </c>
      <c r="AF379" s="31">
        <f>IF(AQ379="2",BH379,0)</f>
        <v>0</v>
      </c>
      <c r="AG379" s="31">
        <f>IF(AQ379="2",BI379,0)</f>
        <v>0</v>
      </c>
      <c r="AH379" s="31">
        <f>IF(AQ379="0",BJ379,0)</f>
        <v>0</v>
      </c>
      <c r="AI379" s="12" t="s">
        <v>56</v>
      </c>
      <c r="AJ379" s="31">
        <f>IF(AN379=0,L379,0)</f>
        <v>0</v>
      </c>
      <c r="AK379" s="31">
        <f>IF(AN379=12,L379,0)</f>
        <v>0</v>
      </c>
      <c r="AL379" s="31">
        <f>IF(AN379=21,L379,0)</f>
        <v>237767.26824999999</v>
      </c>
      <c r="AN379" s="31">
        <v>21</v>
      </c>
      <c r="AO379" s="31">
        <f>H379*0</f>
        <v>0</v>
      </c>
      <c r="AP379" s="31">
        <f>H379*(1-0)</f>
        <v>25</v>
      </c>
      <c r="AQ379" s="32" t="s">
        <v>81</v>
      </c>
      <c r="AV379" s="31">
        <f>AW379+AX379</f>
        <v>237767.26824999999</v>
      </c>
      <c r="AW379" s="31">
        <f>G379*AO379</f>
        <v>0</v>
      </c>
      <c r="AX379" s="31">
        <f>G379*AP379</f>
        <v>237767.26824999999</v>
      </c>
      <c r="AY379" s="32" t="s">
        <v>619</v>
      </c>
      <c r="AZ379" s="32" t="s">
        <v>574</v>
      </c>
      <c r="BA379" s="12" t="s">
        <v>65</v>
      </c>
      <c r="BC379" s="31">
        <f>AW379+AX379</f>
        <v>237767.26824999999</v>
      </c>
      <c r="BD379" s="31">
        <f>H379/(100-BE379)*100</f>
        <v>25</v>
      </c>
      <c r="BE379" s="31">
        <v>0</v>
      </c>
      <c r="BF379" s="31">
        <f>O379</f>
        <v>0</v>
      </c>
      <c r="BH379" s="31">
        <f>G379*AO379</f>
        <v>0</v>
      </c>
      <c r="BI379" s="31">
        <f>G379*AP379</f>
        <v>237767.26824999999</v>
      </c>
      <c r="BJ379" s="31">
        <f>G379*H379</f>
        <v>237767.26824999999</v>
      </c>
      <c r="BK379" s="31"/>
      <c r="BL379" s="31"/>
      <c r="BW379" s="31" t="str">
        <f>I379</f>
        <v>21</v>
      </c>
      <c r="BX379" s="4" t="s">
        <v>626</v>
      </c>
    </row>
    <row r="380" spans="1:76">
      <c r="A380" s="34"/>
      <c r="D380" s="35" t="s">
        <v>627</v>
      </c>
      <c r="E380" s="35" t="s">
        <v>56</v>
      </c>
      <c r="G380" s="36">
        <v>9510.6907300000003</v>
      </c>
      <c r="P380" s="37"/>
    </row>
    <row r="381" spans="1:76">
      <c r="A381" s="2" t="s">
        <v>628</v>
      </c>
      <c r="B381" s="3" t="s">
        <v>56</v>
      </c>
      <c r="C381" s="3" t="s">
        <v>629</v>
      </c>
      <c r="D381" s="74" t="s">
        <v>630</v>
      </c>
      <c r="E381" s="75"/>
      <c r="F381" s="3" t="s">
        <v>593</v>
      </c>
      <c r="G381" s="31">
        <v>96.21</v>
      </c>
      <c r="H381" s="31">
        <v>1757</v>
      </c>
      <c r="I381" s="32" t="s">
        <v>63</v>
      </c>
      <c r="J381" s="31">
        <f>G381*AO381</f>
        <v>0</v>
      </c>
      <c r="K381" s="31">
        <f>G381*AP381</f>
        <v>169040.97</v>
      </c>
      <c r="L381" s="31">
        <f>G381*H381</f>
        <v>169040.97</v>
      </c>
      <c r="M381" s="31">
        <f>L381*(1+BW381/100)</f>
        <v>204539.57370000001</v>
      </c>
      <c r="N381" s="31">
        <v>0</v>
      </c>
      <c r="O381" s="31">
        <f>G381*N381</f>
        <v>0</v>
      </c>
      <c r="P381" s="33" t="s">
        <v>85</v>
      </c>
      <c r="Z381" s="31">
        <f>IF(AQ381="5",BJ381,0)</f>
        <v>169040.97</v>
      </c>
      <c r="AB381" s="31">
        <f>IF(AQ381="1",BH381,0)</f>
        <v>0</v>
      </c>
      <c r="AC381" s="31">
        <f>IF(AQ381="1",BI381,0)</f>
        <v>0</v>
      </c>
      <c r="AD381" s="31">
        <f>IF(AQ381="7",BH381,0)</f>
        <v>0</v>
      </c>
      <c r="AE381" s="31">
        <f>IF(AQ381="7",BI381,0)</f>
        <v>0</v>
      </c>
      <c r="AF381" s="31">
        <f>IF(AQ381="2",BH381,0)</f>
        <v>0</v>
      </c>
      <c r="AG381" s="31">
        <f>IF(AQ381="2",BI381,0)</f>
        <v>0</v>
      </c>
      <c r="AH381" s="31">
        <f>IF(AQ381="0",BJ381,0)</f>
        <v>0</v>
      </c>
      <c r="AI381" s="12" t="s">
        <v>56</v>
      </c>
      <c r="AJ381" s="31">
        <f>IF(AN381=0,L381,0)</f>
        <v>0</v>
      </c>
      <c r="AK381" s="31">
        <f>IF(AN381=12,L381,0)</f>
        <v>0</v>
      </c>
      <c r="AL381" s="31">
        <f>IF(AN381=21,L381,0)</f>
        <v>169040.97</v>
      </c>
      <c r="AN381" s="31">
        <v>21</v>
      </c>
      <c r="AO381" s="31">
        <f>H381*0</f>
        <v>0</v>
      </c>
      <c r="AP381" s="31">
        <f>H381*(1-0)</f>
        <v>1757</v>
      </c>
      <c r="AQ381" s="32" t="s">
        <v>81</v>
      </c>
      <c r="AV381" s="31">
        <f>AW381+AX381</f>
        <v>169040.97</v>
      </c>
      <c r="AW381" s="31">
        <f>G381*AO381</f>
        <v>0</v>
      </c>
      <c r="AX381" s="31">
        <f>G381*AP381</f>
        <v>169040.97</v>
      </c>
      <c r="AY381" s="32" t="s">
        <v>619</v>
      </c>
      <c r="AZ381" s="32" t="s">
        <v>574</v>
      </c>
      <c r="BA381" s="12" t="s">
        <v>65</v>
      </c>
      <c r="BC381" s="31">
        <f>AW381+AX381</f>
        <v>169040.97</v>
      </c>
      <c r="BD381" s="31">
        <f>H381/(100-BE381)*100</f>
        <v>1757</v>
      </c>
      <c r="BE381" s="31">
        <v>0</v>
      </c>
      <c r="BF381" s="31">
        <f>O381</f>
        <v>0</v>
      </c>
      <c r="BH381" s="31">
        <f>G381*AO381</f>
        <v>0</v>
      </c>
      <c r="BI381" s="31">
        <f>G381*AP381</f>
        <v>169040.97</v>
      </c>
      <c r="BJ381" s="31">
        <f>G381*H381</f>
        <v>169040.97</v>
      </c>
      <c r="BK381" s="31"/>
      <c r="BL381" s="31"/>
      <c r="BW381" s="31" t="str">
        <f>I381</f>
        <v>21</v>
      </c>
      <c r="BX381" s="4" t="s">
        <v>630</v>
      </c>
    </row>
    <row r="382" spans="1:76">
      <c r="A382" s="34"/>
      <c r="D382" s="35" t="s">
        <v>631</v>
      </c>
      <c r="E382" s="35" t="s">
        <v>56</v>
      </c>
      <c r="G382" s="36">
        <v>96.21</v>
      </c>
      <c r="P382" s="37"/>
    </row>
    <row r="383" spans="1:76">
      <c r="A383" s="2" t="s">
        <v>632</v>
      </c>
      <c r="B383" s="3" t="s">
        <v>56</v>
      </c>
      <c r="C383" s="3" t="s">
        <v>633</v>
      </c>
      <c r="D383" s="74" t="s">
        <v>634</v>
      </c>
      <c r="E383" s="75"/>
      <c r="F383" s="3" t="s">
        <v>593</v>
      </c>
      <c r="G383" s="31">
        <v>96.21</v>
      </c>
      <c r="H383" s="31">
        <v>433</v>
      </c>
      <c r="I383" s="32" t="s">
        <v>63</v>
      </c>
      <c r="J383" s="31">
        <f>G383*AO383</f>
        <v>0</v>
      </c>
      <c r="K383" s="31">
        <f>G383*AP383</f>
        <v>41658.93</v>
      </c>
      <c r="L383" s="31">
        <f>G383*H383</f>
        <v>41658.93</v>
      </c>
      <c r="M383" s="31">
        <f>L383*(1+BW383/100)</f>
        <v>50407.3053</v>
      </c>
      <c r="N383" s="31">
        <v>0</v>
      </c>
      <c r="O383" s="31">
        <f>G383*N383</f>
        <v>0</v>
      </c>
      <c r="P383" s="33" t="s">
        <v>85</v>
      </c>
      <c r="Z383" s="31">
        <f>IF(AQ383="5",BJ383,0)</f>
        <v>41658.93</v>
      </c>
      <c r="AB383" s="31">
        <f>IF(AQ383="1",BH383,0)</f>
        <v>0</v>
      </c>
      <c r="AC383" s="31">
        <f>IF(AQ383="1",BI383,0)</f>
        <v>0</v>
      </c>
      <c r="AD383" s="31">
        <f>IF(AQ383="7",BH383,0)</f>
        <v>0</v>
      </c>
      <c r="AE383" s="31">
        <f>IF(AQ383="7",BI383,0)</f>
        <v>0</v>
      </c>
      <c r="AF383" s="31">
        <f>IF(AQ383="2",BH383,0)</f>
        <v>0</v>
      </c>
      <c r="AG383" s="31">
        <f>IF(AQ383="2",BI383,0)</f>
        <v>0</v>
      </c>
      <c r="AH383" s="31">
        <f>IF(AQ383="0",BJ383,0)</f>
        <v>0</v>
      </c>
      <c r="AI383" s="12" t="s">
        <v>56</v>
      </c>
      <c r="AJ383" s="31">
        <f>IF(AN383=0,L383,0)</f>
        <v>0</v>
      </c>
      <c r="AK383" s="31">
        <f>IF(AN383=12,L383,0)</f>
        <v>0</v>
      </c>
      <c r="AL383" s="31">
        <f>IF(AN383=21,L383,0)</f>
        <v>41658.93</v>
      </c>
      <c r="AN383" s="31">
        <v>21</v>
      </c>
      <c r="AO383" s="31">
        <f>H383*0</f>
        <v>0</v>
      </c>
      <c r="AP383" s="31">
        <f>H383*(1-0)</f>
        <v>433</v>
      </c>
      <c r="AQ383" s="32" t="s">
        <v>81</v>
      </c>
      <c r="AV383" s="31">
        <f>AW383+AX383</f>
        <v>41658.93</v>
      </c>
      <c r="AW383" s="31">
        <f>G383*AO383</f>
        <v>0</v>
      </c>
      <c r="AX383" s="31">
        <f>G383*AP383</f>
        <v>41658.93</v>
      </c>
      <c r="AY383" s="32" t="s">
        <v>619</v>
      </c>
      <c r="AZ383" s="32" t="s">
        <v>574</v>
      </c>
      <c r="BA383" s="12" t="s">
        <v>65</v>
      </c>
      <c r="BC383" s="31">
        <f>AW383+AX383</f>
        <v>41658.93</v>
      </c>
      <c r="BD383" s="31">
        <f>H383/(100-BE383)*100</f>
        <v>433</v>
      </c>
      <c r="BE383" s="31">
        <v>0</v>
      </c>
      <c r="BF383" s="31">
        <f>O383</f>
        <v>0</v>
      </c>
      <c r="BH383" s="31">
        <f>G383*AO383</f>
        <v>0</v>
      </c>
      <c r="BI383" s="31">
        <f>G383*AP383</f>
        <v>41658.93</v>
      </c>
      <c r="BJ383" s="31">
        <f>G383*H383</f>
        <v>41658.93</v>
      </c>
      <c r="BK383" s="31"/>
      <c r="BL383" s="31"/>
      <c r="BW383" s="31" t="str">
        <f>I383</f>
        <v>21</v>
      </c>
      <c r="BX383" s="4" t="s">
        <v>634</v>
      </c>
    </row>
    <row r="384" spans="1:76">
      <c r="A384" s="34"/>
      <c r="D384" s="35" t="s">
        <v>635</v>
      </c>
      <c r="E384" s="35" t="s">
        <v>56</v>
      </c>
      <c r="G384" s="36">
        <v>96.21</v>
      </c>
      <c r="P384" s="37"/>
    </row>
    <row r="385" spans="1:76">
      <c r="A385" s="2" t="s">
        <v>636</v>
      </c>
      <c r="B385" s="3" t="s">
        <v>56</v>
      </c>
      <c r="C385" s="3" t="s">
        <v>637</v>
      </c>
      <c r="D385" s="74" t="s">
        <v>638</v>
      </c>
      <c r="E385" s="75"/>
      <c r="F385" s="3" t="s">
        <v>593</v>
      </c>
      <c r="G385" s="31">
        <v>500.56267000000003</v>
      </c>
      <c r="H385" s="31">
        <v>650</v>
      </c>
      <c r="I385" s="32" t="s">
        <v>63</v>
      </c>
      <c r="J385" s="31">
        <f>G385*AO385</f>
        <v>0</v>
      </c>
      <c r="K385" s="31">
        <f>G385*AP385</f>
        <v>325365.73550000001</v>
      </c>
      <c r="L385" s="31">
        <f>G385*H385</f>
        <v>325365.73550000001</v>
      </c>
      <c r="M385" s="31">
        <f>L385*(1+BW385/100)</f>
        <v>393692.53995499999</v>
      </c>
      <c r="N385" s="31">
        <v>0</v>
      </c>
      <c r="O385" s="31">
        <f>G385*N385</f>
        <v>0</v>
      </c>
      <c r="P385" s="33" t="s">
        <v>85</v>
      </c>
      <c r="Z385" s="31">
        <f>IF(AQ385="5",BJ385,0)</f>
        <v>325365.73550000001</v>
      </c>
      <c r="AB385" s="31">
        <f>IF(AQ385="1",BH385,0)</f>
        <v>0</v>
      </c>
      <c r="AC385" s="31">
        <f>IF(AQ385="1",BI385,0)</f>
        <v>0</v>
      </c>
      <c r="AD385" s="31">
        <f>IF(AQ385="7",BH385,0)</f>
        <v>0</v>
      </c>
      <c r="AE385" s="31">
        <f>IF(AQ385="7",BI385,0)</f>
        <v>0</v>
      </c>
      <c r="AF385" s="31">
        <f>IF(AQ385="2",BH385,0)</f>
        <v>0</v>
      </c>
      <c r="AG385" s="31">
        <f>IF(AQ385="2",BI385,0)</f>
        <v>0</v>
      </c>
      <c r="AH385" s="31">
        <f>IF(AQ385="0",BJ385,0)</f>
        <v>0</v>
      </c>
      <c r="AI385" s="12" t="s">
        <v>56</v>
      </c>
      <c r="AJ385" s="31">
        <f>IF(AN385=0,L385,0)</f>
        <v>0</v>
      </c>
      <c r="AK385" s="31">
        <f>IF(AN385=12,L385,0)</f>
        <v>0</v>
      </c>
      <c r="AL385" s="31">
        <f>IF(AN385=21,L385,0)</f>
        <v>325365.73550000001</v>
      </c>
      <c r="AN385" s="31">
        <v>21</v>
      </c>
      <c r="AO385" s="31">
        <f>H385*0</f>
        <v>0</v>
      </c>
      <c r="AP385" s="31">
        <f>H385*(1-0)</f>
        <v>650</v>
      </c>
      <c r="AQ385" s="32" t="s">
        <v>81</v>
      </c>
      <c r="AV385" s="31">
        <f>AW385+AX385</f>
        <v>325365.73550000001</v>
      </c>
      <c r="AW385" s="31">
        <f>G385*AO385</f>
        <v>0</v>
      </c>
      <c r="AX385" s="31">
        <f>G385*AP385</f>
        <v>325365.73550000001</v>
      </c>
      <c r="AY385" s="32" t="s">
        <v>619</v>
      </c>
      <c r="AZ385" s="32" t="s">
        <v>574</v>
      </c>
      <c r="BA385" s="12" t="s">
        <v>65</v>
      </c>
      <c r="BC385" s="31">
        <f>AW385+AX385</f>
        <v>325365.73550000001</v>
      </c>
      <c r="BD385" s="31">
        <f>H385/(100-BE385)*100</f>
        <v>650</v>
      </c>
      <c r="BE385" s="31">
        <v>0</v>
      </c>
      <c r="BF385" s="31">
        <f>O385</f>
        <v>0</v>
      </c>
      <c r="BH385" s="31">
        <f>G385*AO385</f>
        <v>0</v>
      </c>
      <c r="BI385" s="31">
        <f>G385*AP385</f>
        <v>325365.73550000001</v>
      </c>
      <c r="BJ385" s="31">
        <f>G385*H385</f>
        <v>325365.73550000001</v>
      </c>
      <c r="BK385" s="31"/>
      <c r="BL385" s="31"/>
      <c r="BW385" s="31" t="str">
        <f>I385</f>
        <v>21</v>
      </c>
      <c r="BX385" s="4" t="s">
        <v>638</v>
      </c>
    </row>
    <row r="386" spans="1:76">
      <c r="A386" s="34"/>
      <c r="D386" s="35" t="s">
        <v>620</v>
      </c>
      <c r="E386" s="35" t="s">
        <v>56</v>
      </c>
      <c r="G386" s="36">
        <v>500.56267000000003</v>
      </c>
      <c r="P386" s="37"/>
    </row>
    <row r="387" spans="1:76">
      <c r="A387" s="2" t="s">
        <v>639</v>
      </c>
      <c r="B387" s="3" t="s">
        <v>56</v>
      </c>
      <c r="C387" s="3" t="s">
        <v>640</v>
      </c>
      <c r="D387" s="74" t="s">
        <v>641</v>
      </c>
      <c r="E387" s="75"/>
      <c r="F387" s="3" t="s">
        <v>593</v>
      </c>
      <c r="G387" s="31">
        <v>29.216000000000001</v>
      </c>
      <c r="H387" s="31">
        <v>530</v>
      </c>
      <c r="I387" s="32" t="s">
        <v>63</v>
      </c>
      <c r="J387" s="31">
        <f>G387*AO387</f>
        <v>0</v>
      </c>
      <c r="K387" s="31">
        <f>G387*AP387</f>
        <v>15484.480000000001</v>
      </c>
      <c r="L387" s="31">
        <f>G387*H387</f>
        <v>15484.480000000001</v>
      </c>
      <c r="M387" s="31">
        <f>L387*(1+BW387/100)</f>
        <v>18736.220800000003</v>
      </c>
      <c r="N387" s="31">
        <v>0</v>
      </c>
      <c r="O387" s="31">
        <f>G387*N387</f>
        <v>0</v>
      </c>
      <c r="P387" s="33" t="s">
        <v>85</v>
      </c>
      <c r="Z387" s="31">
        <f>IF(AQ387="5",BJ387,0)</f>
        <v>15484.480000000001</v>
      </c>
      <c r="AB387" s="31">
        <f>IF(AQ387="1",BH387,0)</f>
        <v>0</v>
      </c>
      <c r="AC387" s="31">
        <f>IF(AQ387="1",BI387,0)</f>
        <v>0</v>
      </c>
      <c r="AD387" s="31">
        <f>IF(AQ387="7",BH387,0)</f>
        <v>0</v>
      </c>
      <c r="AE387" s="31">
        <f>IF(AQ387="7",BI387,0)</f>
        <v>0</v>
      </c>
      <c r="AF387" s="31">
        <f>IF(AQ387="2",BH387,0)</f>
        <v>0</v>
      </c>
      <c r="AG387" s="31">
        <f>IF(AQ387="2",BI387,0)</f>
        <v>0</v>
      </c>
      <c r="AH387" s="31">
        <f>IF(AQ387="0",BJ387,0)</f>
        <v>0</v>
      </c>
      <c r="AI387" s="12" t="s">
        <v>56</v>
      </c>
      <c r="AJ387" s="31">
        <f>IF(AN387=0,L387,0)</f>
        <v>0</v>
      </c>
      <c r="AK387" s="31">
        <f>IF(AN387=12,L387,0)</f>
        <v>0</v>
      </c>
      <c r="AL387" s="31">
        <f>IF(AN387=21,L387,0)</f>
        <v>15484.480000000001</v>
      </c>
      <c r="AN387" s="31">
        <v>21</v>
      </c>
      <c r="AO387" s="31">
        <f>H387*0</f>
        <v>0</v>
      </c>
      <c r="AP387" s="31">
        <f>H387*(1-0)</f>
        <v>530</v>
      </c>
      <c r="AQ387" s="32" t="s">
        <v>81</v>
      </c>
      <c r="AV387" s="31">
        <f>AW387+AX387</f>
        <v>15484.480000000001</v>
      </c>
      <c r="AW387" s="31">
        <f>G387*AO387</f>
        <v>0</v>
      </c>
      <c r="AX387" s="31">
        <f>G387*AP387</f>
        <v>15484.480000000001</v>
      </c>
      <c r="AY387" s="32" t="s">
        <v>619</v>
      </c>
      <c r="AZ387" s="32" t="s">
        <v>574</v>
      </c>
      <c r="BA387" s="12" t="s">
        <v>65</v>
      </c>
      <c r="BC387" s="31">
        <f>AW387+AX387</f>
        <v>15484.480000000001</v>
      </c>
      <c r="BD387" s="31">
        <f>H387/(100-BE387)*100</f>
        <v>530</v>
      </c>
      <c r="BE387" s="31">
        <v>0</v>
      </c>
      <c r="BF387" s="31">
        <f>O387</f>
        <v>0</v>
      </c>
      <c r="BH387" s="31">
        <f>G387*AO387</f>
        <v>0</v>
      </c>
      <c r="BI387" s="31">
        <f>G387*AP387</f>
        <v>15484.480000000001</v>
      </c>
      <c r="BJ387" s="31">
        <f>G387*H387</f>
        <v>15484.480000000001</v>
      </c>
      <c r="BK387" s="31"/>
      <c r="BL387" s="31"/>
      <c r="BW387" s="31" t="str">
        <f>I387</f>
        <v>21</v>
      </c>
      <c r="BX387" s="4" t="s">
        <v>641</v>
      </c>
    </row>
    <row r="388" spans="1:76">
      <c r="A388" s="34"/>
      <c r="D388" s="35" t="s">
        <v>642</v>
      </c>
      <c r="E388" s="35" t="s">
        <v>56</v>
      </c>
      <c r="G388" s="36">
        <v>29.216000000000001</v>
      </c>
      <c r="P388" s="37"/>
    </row>
    <row r="389" spans="1:76">
      <c r="A389" s="38" t="s">
        <v>56</v>
      </c>
      <c r="B389" s="39" t="s">
        <v>56</v>
      </c>
      <c r="C389" s="39" t="s">
        <v>643</v>
      </c>
      <c r="D389" s="76" t="s">
        <v>644</v>
      </c>
      <c r="E389" s="77"/>
      <c r="F389" s="40" t="s">
        <v>4</v>
      </c>
      <c r="G389" s="40" t="s">
        <v>4</v>
      </c>
      <c r="H389" s="40" t="s">
        <v>4</v>
      </c>
      <c r="I389" s="40" t="s">
        <v>4</v>
      </c>
      <c r="J389" s="1">
        <f>SUM(J390:J392)</f>
        <v>0</v>
      </c>
      <c r="K389" s="1">
        <f>SUM(K390:K392)</f>
        <v>1420000</v>
      </c>
      <c r="L389" s="1">
        <f>SUM(L390:L392)</f>
        <v>1420000</v>
      </c>
      <c r="M389" s="1">
        <f>SUM(M390:M392)</f>
        <v>1718200</v>
      </c>
      <c r="N389" s="12" t="s">
        <v>56</v>
      </c>
      <c r="O389" s="1">
        <f>SUM(O390:O392)</f>
        <v>0</v>
      </c>
      <c r="P389" s="41" t="s">
        <v>56</v>
      </c>
      <c r="AI389" s="12" t="s">
        <v>56</v>
      </c>
      <c r="AS389" s="1">
        <f>SUM(AJ390:AJ392)</f>
        <v>0</v>
      </c>
      <c r="AT389" s="1">
        <f>SUM(AK390:AK392)</f>
        <v>0</v>
      </c>
      <c r="AU389" s="1">
        <f>SUM(AL390:AL392)</f>
        <v>1420000</v>
      </c>
    </row>
    <row r="390" spans="1:76">
      <c r="A390" s="2" t="s">
        <v>645</v>
      </c>
      <c r="B390" s="3" t="s">
        <v>56</v>
      </c>
      <c r="C390" s="3" t="s">
        <v>646</v>
      </c>
      <c r="D390" s="74" t="s">
        <v>647</v>
      </c>
      <c r="E390" s="75"/>
      <c r="F390" s="3" t="s">
        <v>648</v>
      </c>
      <c r="G390" s="31">
        <v>3.25</v>
      </c>
      <c r="H390" s="31">
        <v>200000</v>
      </c>
      <c r="I390" s="32" t="s">
        <v>63</v>
      </c>
      <c r="J390" s="31">
        <f>G390*AO390</f>
        <v>0</v>
      </c>
      <c r="K390" s="31">
        <f>G390*AP390</f>
        <v>650000</v>
      </c>
      <c r="L390" s="31">
        <f>G390*H390</f>
        <v>650000</v>
      </c>
      <c r="M390" s="31">
        <f>L390*(1+BW390/100)</f>
        <v>786500</v>
      </c>
      <c r="N390" s="31">
        <v>0</v>
      </c>
      <c r="O390" s="31">
        <f>G390*N390</f>
        <v>0</v>
      </c>
      <c r="P390" s="33" t="s">
        <v>56</v>
      </c>
      <c r="Z390" s="31">
        <f>IF(AQ390="5",BJ390,0)</f>
        <v>0</v>
      </c>
      <c r="AB390" s="31">
        <f>IF(AQ390="1",BH390,0)</f>
        <v>0</v>
      </c>
      <c r="AC390" s="31">
        <f>IF(AQ390="1",BI390,0)</f>
        <v>650000</v>
      </c>
      <c r="AD390" s="31">
        <f>IF(AQ390="7",BH390,0)</f>
        <v>0</v>
      </c>
      <c r="AE390" s="31">
        <f>IF(AQ390="7",BI390,0)</f>
        <v>0</v>
      </c>
      <c r="AF390" s="31">
        <f>IF(AQ390="2",BH390,0)</f>
        <v>0</v>
      </c>
      <c r="AG390" s="31">
        <f>IF(AQ390="2",BI390,0)</f>
        <v>0</v>
      </c>
      <c r="AH390" s="31">
        <f>IF(AQ390="0",BJ390,0)</f>
        <v>0</v>
      </c>
      <c r="AI390" s="12" t="s">
        <v>56</v>
      </c>
      <c r="AJ390" s="31">
        <f>IF(AN390=0,L390,0)</f>
        <v>0</v>
      </c>
      <c r="AK390" s="31">
        <f>IF(AN390=12,L390,0)</f>
        <v>0</v>
      </c>
      <c r="AL390" s="31">
        <f>IF(AN390=21,L390,0)</f>
        <v>650000</v>
      </c>
      <c r="AN390" s="31">
        <v>21</v>
      </c>
      <c r="AO390" s="31">
        <f>H390*0</f>
        <v>0</v>
      </c>
      <c r="AP390" s="31">
        <f>H390*(1-0)</f>
        <v>200000</v>
      </c>
      <c r="AQ390" s="32" t="s">
        <v>59</v>
      </c>
      <c r="AV390" s="31">
        <f>AW390+AX390</f>
        <v>650000</v>
      </c>
      <c r="AW390" s="31">
        <f>G390*AO390</f>
        <v>0</v>
      </c>
      <c r="AX390" s="31">
        <f>G390*AP390</f>
        <v>650000</v>
      </c>
      <c r="AY390" s="32" t="s">
        <v>649</v>
      </c>
      <c r="AZ390" s="32" t="s">
        <v>64</v>
      </c>
      <c r="BA390" s="12" t="s">
        <v>65</v>
      </c>
      <c r="BC390" s="31">
        <f>AW390+AX390</f>
        <v>650000</v>
      </c>
      <c r="BD390" s="31">
        <f>H390/(100-BE390)*100</f>
        <v>200000</v>
      </c>
      <c r="BE390" s="31">
        <v>0</v>
      </c>
      <c r="BF390" s="31">
        <f>O390</f>
        <v>0</v>
      </c>
      <c r="BH390" s="31">
        <f>G390*AO390</f>
        <v>0</v>
      </c>
      <c r="BI390" s="31">
        <f>G390*AP390</f>
        <v>650000</v>
      </c>
      <c r="BJ390" s="31">
        <f>G390*H390</f>
        <v>650000</v>
      </c>
      <c r="BK390" s="31"/>
      <c r="BL390" s="31"/>
      <c r="BW390" s="31" t="str">
        <f>I390</f>
        <v>21</v>
      </c>
      <c r="BX390" s="4" t="s">
        <v>647</v>
      </c>
    </row>
    <row r="391" spans="1:76">
      <c r="A391" s="2" t="s">
        <v>650</v>
      </c>
      <c r="B391" s="3" t="s">
        <v>56</v>
      </c>
      <c r="C391" s="3" t="s">
        <v>651</v>
      </c>
      <c r="D391" s="74" t="s">
        <v>652</v>
      </c>
      <c r="E391" s="75"/>
      <c r="F391" s="3" t="s">
        <v>648</v>
      </c>
      <c r="G391" s="31">
        <v>2.35</v>
      </c>
      <c r="H391" s="31">
        <v>200000</v>
      </c>
      <c r="I391" s="32" t="s">
        <v>63</v>
      </c>
      <c r="J391" s="31">
        <f>G391*AO391</f>
        <v>0</v>
      </c>
      <c r="K391" s="31">
        <f>G391*AP391</f>
        <v>470000</v>
      </c>
      <c r="L391" s="31">
        <f>G391*H391</f>
        <v>470000</v>
      </c>
      <c r="M391" s="31">
        <f>L391*(1+BW391/100)</f>
        <v>568700</v>
      </c>
      <c r="N391" s="31">
        <v>0</v>
      </c>
      <c r="O391" s="31">
        <f>G391*N391</f>
        <v>0</v>
      </c>
      <c r="P391" s="33" t="s">
        <v>56</v>
      </c>
      <c r="Z391" s="31">
        <f>IF(AQ391="5",BJ391,0)</f>
        <v>0</v>
      </c>
      <c r="AB391" s="31">
        <f>IF(AQ391="1",BH391,0)</f>
        <v>0</v>
      </c>
      <c r="AC391" s="31">
        <f>IF(AQ391="1",BI391,0)</f>
        <v>470000</v>
      </c>
      <c r="AD391" s="31">
        <f>IF(AQ391="7",BH391,0)</f>
        <v>0</v>
      </c>
      <c r="AE391" s="31">
        <f>IF(AQ391="7",BI391,0)</f>
        <v>0</v>
      </c>
      <c r="AF391" s="31">
        <f>IF(AQ391="2",BH391,0)</f>
        <v>0</v>
      </c>
      <c r="AG391" s="31">
        <f>IF(AQ391="2",BI391,0)</f>
        <v>0</v>
      </c>
      <c r="AH391" s="31">
        <f>IF(AQ391="0",BJ391,0)</f>
        <v>0</v>
      </c>
      <c r="AI391" s="12" t="s">
        <v>56</v>
      </c>
      <c r="AJ391" s="31">
        <f>IF(AN391=0,L391,0)</f>
        <v>0</v>
      </c>
      <c r="AK391" s="31">
        <f>IF(AN391=12,L391,0)</f>
        <v>0</v>
      </c>
      <c r="AL391" s="31">
        <f>IF(AN391=21,L391,0)</f>
        <v>470000</v>
      </c>
      <c r="AN391" s="31">
        <v>21</v>
      </c>
      <c r="AO391" s="31">
        <f>H391*0</f>
        <v>0</v>
      </c>
      <c r="AP391" s="31">
        <f>H391*(1-0)</f>
        <v>200000</v>
      </c>
      <c r="AQ391" s="32" t="s">
        <v>59</v>
      </c>
      <c r="AV391" s="31">
        <f>AW391+AX391</f>
        <v>470000</v>
      </c>
      <c r="AW391" s="31">
        <f>G391*AO391</f>
        <v>0</v>
      </c>
      <c r="AX391" s="31">
        <f>G391*AP391</f>
        <v>470000</v>
      </c>
      <c r="AY391" s="32" t="s">
        <v>649</v>
      </c>
      <c r="AZ391" s="32" t="s">
        <v>64</v>
      </c>
      <c r="BA391" s="12" t="s">
        <v>65</v>
      </c>
      <c r="BC391" s="31">
        <f>AW391+AX391</f>
        <v>470000</v>
      </c>
      <c r="BD391" s="31">
        <f>H391/(100-BE391)*100</f>
        <v>200000</v>
      </c>
      <c r="BE391" s="31">
        <v>0</v>
      </c>
      <c r="BF391" s="31">
        <f>O391</f>
        <v>0</v>
      </c>
      <c r="BH391" s="31">
        <f>G391*AO391</f>
        <v>0</v>
      </c>
      <c r="BI391" s="31">
        <f>G391*AP391</f>
        <v>470000</v>
      </c>
      <c r="BJ391" s="31">
        <f>G391*H391</f>
        <v>470000</v>
      </c>
      <c r="BK391" s="31"/>
      <c r="BL391" s="31"/>
      <c r="BW391" s="31" t="str">
        <f>I391</f>
        <v>21</v>
      </c>
      <c r="BX391" s="4" t="s">
        <v>652</v>
      </c>
    </row>
    <row r="392" spans="1:76">
      <c r="A392" s="42" t="s">
        <v>653</v>
      </c>
      <c r="B392" s="43" t="s">
        <v>56</v>
      </c>
      <c r="C392" s="43" t="s">
        <v>654</v>
      </c>
      <c r="D392" s="71" t="s">
        <v>655</v>
      </c>
      <c r="E392" s="72"/>
      <c r="F392" s="43" t="s">
        <v>648</v>
      </c>
      <c r="G392" s="44">
        <v>1.5</v>
      </c>
      <c r="H392" s="44">
        <v>200000</v>
      </c>
      <c r="I392" s="45" t="s">
        <v>63</v>
      </c>
      <c r="J392" s="44">
        <f>G392*AO392</f>
        <v>0</v>
      </c>
      <c r="K392" s="44">
        <f>G392*AP392</f>
        <v>300000</v>
      </c>
      <c r="L392" s="44">
        <f>G392*H392</f>
        <v>300000</v>
      </c>
      <c r="M392" s="44">
        <f>L392*(1+BW392/100)</f>
        <v>363000</v>
      </c>
      <c r="N392" s="44">
        <v>0</v>
      </c>
      <c r="O392" s="44">
        <f>G392*N392</f>
        <v>0</v>
      </c>
      <c r="P392" s="46" t="s">
        <v>56</v>
      </c>
      <c r="Z392" s="31">
        <f>IF(AQ392="5",BJ392,0)</f>
        <v>0</v>
      </c>
      <c r="AB392" s="31">
        <f>IF(AQ392="1",BH392,0)</f>
        <v>0</v>
      </c>
      <c r="AC392" s="31">
        <f>IF(AQ392="1",BI392,0)</f>
        <v>300000</v>
      </c>
      <c r="AD392" s="31">
        <f>IF(AQ392="7",BH392,0)</f>
        <v>0</v>
      </c>
      <c r="AE392" s="31">
        <f>IF(AQ392="7",BI392,0)</f>
        <v>0</v>
      </c>
      <c r="AF392" s="31">
        <f>IF(AQ392="2",BH392,0)</f>
        <v>0</v>
      </c>
      <c r="AG392" s="31">
        <f>IF(AQ392="2",BI392,0)</f>
        <v>0</v>
      </c>
      <c r="AH392" s="31">
        <f>IF(AQ392="0",BJ392,0)</f>
        <v>0</v>
      </c>
      <c r="AI392" s="12" t="s">
        <v>56</v>
      </c>
      <c r="AJ392" s="31">
        <f>IF(AN392=0,L392,0)</f>
        <v>0</v>
      </c>
      <c r="AK392" s="31">
        <f>IF(AN392=12,L392,0)</f>
        <v>0</v>
      </c>
      <c r="AL392" s="31">
        <f>IF(AN392=21,L392,0)</f>
        <v>300000</v>
      </c>
      <c r="AN392" s="31">
        <v>21</v>
      </c>
      <c r="AO392" s="31">
        <f>H392*0</f>
        <v>0</v>
      </c>
      <c r="AP392" s="31">
        <f>H392*(1-0)</f>
        <v>200000</v>
      </c>
      <c r="AQ392" s="32" t="s">
        <v>59</v>
      </c>
      <c r="AV392" s="31">
        <f>AW392+AX392</f>
        <v>300000</v>
      </c>
      <c r="AW392" s="31">
        <f>G392*AO392</f>
        <v>0</v>
      </c>
      <c r="AX392" s="31">
        <f>G392*AP392</f>
        <v>300000</v>
      </c>
      <c r="AY392" s="32" t="s">
        <v>649</v>
      </c>
      <c r="AZ392" s="32" t="s">
        <v>64</v>
      </c>
      <c r="BA392" s="12" t="s">
        <v>65</v>
      </c>
      <c r="BC392" s="31">
        <f>AW392+AX392</f>
        <v>300000</v>
      </c>
      <c r="BD392" s="31">
        <f>H392/(100-BE392)*100</f>
        <v>200000</v>
      </c>
      <c r="BE392" s="31">
        <v>0</v>
      </c>
      <c r="BF392" s="31">
        <f>O392</f>
        <v>0</v>
      </c>
      <c r="BH392" s="31">
        <f>G392*AO392</f>
        <v>0</v>
      </c>
      <c r="BI392" s="31">
        <f>G392*AP392</f>
        <v>300000</v>
      </c>
      <c r="BJ392" s="31">
        <f>G392*H392</f>
        <v>300000</v>
      </c>
      <c r="BK392" s="31"/>
      <c r="BL392" s="31"/>
      <c r="BW392" s="31" t="str">
        <f>I392</f>
        <v>21</v>
      </c>
      <c r="BX392" s="4" t="s">
        <v>655</v>
      </c>
    </row>
    <row r="393" spans="1:76">
      <c r="J393" s="73" t="s">
        <v>656</v>
      </c>
      <c r="K393" s="73"/>
      <c r="L393" s="47">
        <f>L12+L21+L38+L74+L92+L116+L150+L173+L176+L183+L188+L200+L209+L218+L221+L232+L282+L320+L325+L344+L347+L350+L360+L363+L368+L371+L374+L389</f>
        <v>21071652.272873703</v>
      </c>
      <c r="M393" s="47">
        <f>M12+M21+M38+M74+M92+M116+M150+M173+M176+M183+M188+M200+M209+M218+M221+M232+M282+M320+M325+M344+M347+M350+M360+M363+M368+M371+M374+M389</f>
        <v>25496699.250177179</v>
      </c>
    </row>
    <row r="394" spans="1:76">
      <c r="A394" s="48" t="s">
        <v>657</v>
      </c>
    </row>
    <row r="395" spans="1:76" ht="54" customHeight="1">
      <c r="A395" s="74" t="s">
        <v>658</v>
      </c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</row>
  </sheetData>
  <mergeCells count="174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26:E26"/>
    <mergeCell ref="D30:E30"/>
    <mergeCell ref="D32:E32"/>
    <mergeCell ref="D34:E34"/>
    <mergeCell ref="D36:E36"/>
    <mergeCell ref="D15:E15"/>
    <mergeCell ref="D17:E17"/>
    <mergeCell ref="D19:E19"/>
    <mergeCell ref="D21:E21"/>
    <mergeCell ref="D22:E22"/>
    <mergeCell ref="D55:E55"/>
    <mergeCell ref="D61:E61"/>
    <mergeCell ref="D72:E72"/>
    <mergeCell ref="D74:E74"/>
    <mergeCell ref="D75:E75"/>
    <mergeCell ref="D38:E38"/>
    <mergeCell ref="D39:E39"/>
    <mergeCell ref="D41:E41"/>
    <mergeCell ref="D43:E43"/>
    <mergeCell ref="D53:E53"/>
    <mergeCell ref="D93:E93"/>
    <mergeCell ref="D95:E95"/>
    <mergeCell ref="D98:E98"/>
    <mergeCell ref="D101:E101"/>
    <mergeCell ref="D103:E103"/>
    <mergeCell ref="D77:E77"/>
    <mergeCell ref="D79:E79"/>
    <mergeCell ref="D81:E81"/>
    <mergeCell ref="D90:E90"/>
    <mergeCell ref="D92:E92"/>
    <mergeCell ref="D117:E117"/>
    <mergeCell ref="D122:E122"/>
    <mergeCell ref="D140:E140"/>
    <mergeCell ref="D144:E144"/>
    <mergeCell ref="D146:E146"/>
    <mergeCell ref="D106:E106"/>
    <mergeCell ref="D108:E108"/>
    <mergeCell ref="D112:E112"/>
    <mergeCell ref="D114:E114"/>
    <mergeCell ref="D116:E116"/>
    <mergeCell ref="D174:E174"/>
    <mergeCell ref="D176:E176"/>
    <mergeCell ref="D177:E177"/>
    <mergeCell ref="D179:E179"/>
    <mergeCell ref="D181:E181"/>
    <mergeCell ref="D148:E148"/>
    <mergeCell ref="D150:E150"/>
    <mergeCell ref="D151:E151"/>
    <mergeCell ref="D154:E154"/>
    <mergeCell ref="D173:E173"/>
    <mergeCell ref="D200:E200"/>
    <mergeCell ref="D201:E201"/>
    <mergeCell ref="D203:E203"/>
    <mergeCell ref="D205:E205"/>
    <mergeCell ref="D207:E207"/>
    <mergeCell ref="D183:E183"/>
    <mergeCell ref="D184:E184"/>
    <mergeCell ref="D188:E188"/>
    <mergeCell ref="D189:E189"/>
    <mergeCell ref="D198:E198"/>
    <mergeCell ref="D218:E218"/>
    <mergeCell ref="D219:E219"/>
    <mergeCell ref="D221:E221"/>
    <mergeCell ref="D222:E222"/>
    <mergeCell ref="D225:E225"/>
    <mergeCell ref="D209:E209"/>
    <mergeCell ref="D210:E210"/>
    <mergeCell ref="D212:E212"/>
    <mergeCell ref="D214:E214"/>
    <mergeCell ref="D216:E216"/>
    <mergeCell ref="D244:E244"/>
    <mergeCell ref="D248:E248"/>
    <mergeCell ref="D252:E252"/>
    <mergeCell ref="D256:E256"/>
    <mergeCell ref="D260:E260"/>
    <mergeCell ref="D228:E228"/>
    <mergeCell ref="D230:E230"/>
    <mergeCell ref="D232:E232"/>
    <mergeCell ref="D233:E233"/>
    <mergeCell ref="D240:E240"/>
    <mergeCell ref="D276:E276"/>
    <mergeCell ref="D278:E278"/>
    <mergeCell ref="D280:E280"/>
    <mergeCell ref="D282:E282"/>
    <mergeCell ref="D283:E283"/>
    <mergeCell ref="D262:E262"/>
    <mergeCell ref="D268:E268"/>
    <mergeCell ref="D270:E270"/>
    <mergeCell ref="D272:E272"/>
    <mergeCell ref="D274:E274"/>
    <mergeCell ref="D301:E301"/>
    <mergeCell ref="D304:E304"/>
    <mergeCell ref="D307:E307"/>
    <mergeCell ref="D310:E310"/>
    <mergeCell ref="D313:E313"/>
    <mergeCell ref="D289:E289"/>
    <mergeCell ref="D291:E291"/>
    <mergeCell ref="D294:E294"/>
    <mergeCell ref="D296:E296"/>
    <mergeCell ref="D299:E299"/>
    <mergeCell ref="D326:E326"/>
    <mergeCell ref="D328:E328"/>
    <mergeCell ref="D332:E332"/>
    <mergeCell ref="D334:E334"/>
    <mergeCell ref="D336:E336"/>
    <mergeCell ref="D318:E318"/>
    <mergeCell ref="D320:E320"/>
    <mergeCell ref="D321:E321"/>
    <mergeCell ref="D323:E323"/>
    <mergeCell ref="D325:E325"/>
    <mergeCell ref="D347:E347"/>
    <mergeCell ref="D348:E348"/>
    <mergeCell ref="D350:E350"/>
    <mergeCell ref="D351:E351"/>
    <mergeCell ref="D358:E358"/>
    <mergeCell ref="D338:E338"/>
    <mergeCell ref="D340:E340"/>
    <mergeCell ref="D342:E342"/>
    <mergeCell ref="D344:E344"/>
    <mergeCell ref="D345:E345"/>
    <mergeCell ref="D368:E368"/>
    <mergeCell ref="D369:E369"/>
    <mergeCell ref="D371:E371"/>
    <mergeCell ref="D372:E372"/>
    <mergeCell ref="D374:E374"/>
    <mergeCell ref="D360:E360"/>
    <mergeCell ref="D361:E361"/>
    <mergeCell ref="D363:E363"/>
    <mergeCell ref="D364:E364"/>
    <mergeCell ref="D366:E366"/>
    <mergeCell ref="D392:E392"/>
    <mergeCell ref="J393:K393"/>
    <mergeCell ref="A395:P395"/>
    <mergeCell ref="D385:E385"/>
    <mergeCell ref="D387:E387"/>
    <mergeCell ref="D389:E389"/>
    <mergeCell ref="D390:E390"/>
    <mergeCell ref="D391:E391"/>
    <mergeCell ref="D375:E375"/>
    <mergeCell ref="D377:E377"/>
    <mergeCell ref="D379:E379"/>
    <mergeCell ref="D381:E381"/>
    <mergeCell ref="D383:E383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39" t="s">
        <v>659</v>
      </c>
      <c r="B1" s="95"/>
      <c r="C1" s="95"/>
      <c r="D1" s="95"/>
      <c r="E1" s="95"/>
      <c r="F1" s="95"/>
      <c r="G1" s="95"/>
      <c r="H1" s="95"/>
      <c r="I1" s="95"/>
    </row>
    <row r="2" spans="1:9">
      <c r="A2" s="96" t="s">
        <v>1</v>
      </c>
      <c r="B2" s="88"/>
      <c r="C2" s="100" t="str">
        <f>'Stavební rozpočet'!D2</f>
        <v>NOVÁ PŘÍPOJKA TERMÁLNÍ VODY PRO AQUACENTRUM TEPLICE</v>
      </c>
      <c r="D2" s="101"/>
      <c r="E2" s="87" t="s">
        <v>5</v>
      </c>
      <c r="F2" s="87" t="str">
        <f>'Stavební rozpočet'!J2</f>
        <v>AQUACENTRUM p.o., TEPLICE</v>
      </c>
      <c r="G2" s="88"/>
      <c r="H2" s="87" t="s">
        <v>660</v>
      </c>
      <c r="I2" s="89" t="s">
        <v>56</v>
      </c>
    </row>
    <row r="3" spans="1:9" ht="15" customHeight="1">
      <c r="A3" s="97"/>
      <c r="B3" s="75"/>
      <c r="C3" s="102"/>
      <c r="D3" s="102"/>
      <c r="E3" s="75"/>
      <c r="F3" s="75"/>
      <c r="G3" s="75"/>
      <c r="H3" s="75"/>
      <c r="I3" s="90"/>
    </row>
    <row r="4" spans="1:9">
      <c r="A4" s="98" t="s">
        <v>7</v>
      </c>
      <c r="B4" s="75"/>
      <c r="C4" s="74" t="str">
        <f>'Stavební rozpočet'!D4</f>
        <v>SO 02 - OTV, ČTV do ATS a odpadní voda z AQC</v>
      </c>
      <c r="D4" s="75"/>
      <c r="E4" s="74" t="s">
        <v>10</v>
      </c>
      <c r="F4" s="74" t="str">
        <f>'Stavební rozpočet'!J4</f>
        <v>CHEMINVEST</v>
      </c>
      <c r="G4" s="75"/>
      <c r="H4" s="74" t="s">
        <v>660</v>
      </c>
      <c r="I4" s="90" t="s">
        <v>56</v>
      </c>
    </row>
    <row r="5" spans="1:9" ht="15" customHeight="1">
      <c r="A5" s="97"/>
      <c r="B5" s="75"/>
      <c r="C5" s="75"/>
      <c r="D5" s="75"/>
      <c r="E5" s="75"/>
      <c r="F5" s="75"/>
      <c r="G5" s="75"/>
      <c r="H5" s="75"/>
      <c r="I5" s="90"/>
    </row>
    <row r="6" spans="1:9">
      <c r="A6" s="98" t="s">
        <v>12</v>
      </c>
      <c r="B6" s="75"/>
      <c r="C6" s="74" t="str">
        <f>'Stavební rozpočet'!D6</f>
        <v>AQUACENTRUM TEPLICE</v>
      </c>
      <c r="D6" s="75"/>
      <c r="E6" s="74" t="s">
        <v>15</v>
      </c>
      <c r="F6" s="74" t="str">
        <f>'Stavební rozpočet'!J6</f>
        <v> </v>
      </c>
      <c r="G6" s="75"/>
      <c r="H6" s="74" t="s">
        <v>660</v>
      </c>
      <c r="I6" s="90" t="s">
        <v>56</v>
      </c>
    </row>
    <row r="7" spans="1:9" ht="15" customHeight="1">
      <c r="A7" s="97"/>
      <c r="B7" s="75"/>
      <c r="C7" s="75"/>
      <c r="D7" s="75"/>
      <c r="E7" s="75"/>
      <c r="F7" s="75"/>
      <c r="G7" s="75"/>
      <c r="H7" s="75"/>
      <c r="I7" s="90"/>
    </row>
    <row r="8" spans="1:9">
      <c r="A8" s="98" t="s">
        <v>9</v>
      </c>
      <c r="B8" s="75"/>
      <c r="C8" s="74" t="str">
        <f>'Stavební rozpočet'!H4</f>
        <v xml:space="preserve"> </v>
      </c>
      <c r="D8" s="75"/>
      <c r="E8" s="74" t="s">
        <v>14</v>
      </c>
      <c r="F8" s="74" t="str">
        <f>'Stavební rozpočet'!H6</f>
        <v xml:space="preserve"> </v>
      </c>
      <c r="G8" s="75"/>
      <c r="H8" s="75" t="s">
        <v>661</v>
      </c>
      <c r="I8" s="140">
        <v>115</v>
      </c>
    </row>
    <row r="9" spans="1:9">
      <c r="A9" s="97"/>
      <c r="B9" s="75"/>
      <c r="C9" s="75"/>
      <c r="D9" s="75"/>
      <c r="E9" s="75"/>
      <c r="F9" s="75"/>
      <c r="G9" s="75"/>
      <c r="H9" s="75"/>
      <c r="I9" s="90"/>
    </row>
    <row r="10" spans="1:9">
      <c r="A10" s="98" t="s">
        <v>17</v>
      </c>
      <c r="B10" s="75"/>
      <c r="C10" s="74" t="str">
        <f>'Stavební rozpočet'!D8</f>
        <v xml:space="preserve"> </v>
      </c>
      <c r="D10" s="75"/>
      <c r="E10" s="74" t="s">
        <v>20</v>
      </c>
      <c r="F10" s="74" t="str">
        <f>'Stavební rozpočet'!J8</f>
        <v>Kamila Možná</v>
      </c>
      <c r="G10" s="75"/>
      <c r="H10" s="75" t="s">
        <v>662</v>
      </c>
      <c r="I10" s="133" t="str">
        <f>'Stavební rozpočet'!H8</f>
        <v>29.08.2024</v>
      </c>
    </row>
    <row r="11" spans="1:9">
      <c r="A11" s="138"/>
      <c r="B11" s="72"/>
      <c r="C11" s="72"/>
      <c r="D11" s="72"/>
      <c r="E11" s="72"/>
      <c r="F11" s="72"/>
      <c r="G11" s="72"/>
      <c r="H11" s="72"/>
      <c r="I11" s="134"/>
    </row>
    <row r="12" spans="1:9" ht="23.25">
      <c r="A12" s="135" t="s">
        <v>663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>
      <c r="A13" s="49" t="s">
        <v>664</v>
      </c>
      <c r="B13" s="136" t="s">
        <v>665</v>
      </c>
      <c r="C13" s="137"/>
      <c r="D13" s="50" t="s">
        <v>666</v>
      </c>
      <c r="E13" s="136" t="s">
        <v>667</v>
      </c>
      <c r="F13" s="137"/>
      <c r="G13" s="50" t="s">
        <v>668</v>
      </c>
      <c r="H13" s="136" t="s">
        <v>669</v>
      </c>
      <c r="I13" s="137"/>
    </row>
    <row r="14" spans="1:9" ht="15.75">
      <c r="A14" s="51" t="s">
        <v>670</v>
      </c>
      <c r="B14" s="52" t="s">
        <v>671</v>
      </c>
      <c r="C14" s="53">
        <f>SUM('Stavební rozpočet'!AB12:AB392)</f>
        <v>7910591.1235817075</v>
      </c>
      <c r="D14" s="123" t="s">
        <v>672</v>
      </c>
      <c r="E14" s="124"/>
      <c r="F14" s="53">
        <f>VORN!I15</f>
        <v>0</v>
      </c>
      <c r="G14" s="123" t="s">
        <v>647</v>
      </c>
      <c r="H14" s="124"/>
      <c r="I14" s="53">
        <f>VORN!I21</f>
        <v>0</v>
      </c>
    </row>
    <row r="15" spans="1:9" ht="15.75">
      <c r="A15" s="54" t="s">
        <v>56</v>
      </c>
      <c r="B15" s="52" t="s">
        <v>39</v>
      </c>
      <c r="C15" s="53">
        <f>SUM('Stavební rozpočet'!AC12:AC392)</f>
        <v>11265599.804987889</v>
      </c>
      <c r="D15" s="123" t="s">
        <v>673</v>
      </c>
      <c r="E15" s="124"/>
      <c r="F15" s="53">
        <f>VORN!I16</f>
        <v>0</v>
      </c>
      <c r="G15" s="123" t="s">
        <v>674</v>
      </c>
      <c r="H15" s="124"/>
      <c r="I15" s="53">
        <f>VORN!I22</f>
        <v>0</v>
      </c>
    </row>
    <row r="16" spans="1:9" ht="15.75">
      <c r="A16" s="51" t="s">
        <v>675</v>
      </c>
      <c r="B16" s="52" t="s">
        <v>671</v>
      </c>
      <c r="C16" s="53">
        <f>SUM('Stavební rozpočet'!AD12:AD392)</f>
        <v>76733.746800535053</v>
      </c>
      <c r="D16" s="123" t="s">
        <v>676</v>
      </c>
      <c r="E16" s="124"/>
      <c r="F16" s="53">
        <f>VORN!I17</f>
        <v>0</v>
      </c>
      <c r="G16" s="123" t="s">
        <v>652</v>
      </c>
      <c r="H16" s="124"/>
      <c r="I16" s="53">
        <f>VORN!I23</f>
        <v>0</v>
      </c>
    </row>
    <row r="17" spans="1:9" ht="15.75">
      <c r="A17" s="54" t="s">
        <v>56</v>
      </c>
      <c r="B17" s="52" t="s">
        <v>39</v>
      </c>
      <c r="C17" s="53">
        <f>SUM('Stavební rozpočet'!AE12:AE392)</f>
        <v>15933.44069946494</v>
      </c>
      <c r="D17" s="123" t="s">
        <v>56</v>
      </c>
      <c r="E17" s="124"/>
      <c r="F17" s="55" t="s">
        <v>56</v>
      </c>
      <c r="G17" s="123" t="s">
        <v>655</v>
      </c>
      <c r="H17" s="124"/>
      <c r="I17" s="53">
        <f>VORN!I24</f>
        <v>0</v>
      </c>
    </row>
    <row r="18" spans="1:9" ht="15.75">
      <c r="A18" s="51" t="s">
        <v>677</v>
      </c>
      <c r="B18" s="52" t="s">
        <v>671</v>
      </c>
      <c r="C18" s="53">
        <f>SUM('Stavební rozpočet'!AF12:AF392)</f>
        <v>135.23258977356778</v>
      </c>
      <c r="D18" s="123" t="s">
        <v>56</v>
      </c>
      <c r="E18" s="124"/>
      <c r="F18" s="55" t="s">
        <v>56</v>
      </c>
      <c r="G18" s="123" t="s">
        <v>678</v>
      </c>
      <c r="H18" s="124"/>
      <c r="I18" s="53">
        <f>VORN!I25</f>
        <v>0</v>
      </c>
    </row>
    <row r="19" spans="1:9" ht="15.75">
      <c r="A19" s="54" t="s">
        <v>56</v>
      </c>
      <c r="B19" s="52" t="s">
        <v>39</v>
      </c>
      <c r="C19" s="53">
        <f>SUM('Stavební rozpočet'!AG12:AG392)</f>
        <v>23811.299690226431</v>
      </c>
      <c r="D19" s="123" t="s">
        <v>56</v>
      </c>
      <c r="E19" s="124"/>
      <c r="F19" s="55" t="s">
        <v>56</v>
      </c>
      <c r="G19" s="123" t="s">
        <v>679</v>
      </c>
      <c r="H19" s="124"/>
      <c r="I19" s="53">
        <f>VORN!I26</f>
        <v>0</v>
      </c>
    </row>
    <row r="20" spans="1:9" ht="15.75">
      <c r="A20" s="115" t="s">
        <v>680</v>
      </c>
      <c r="B20" s="116"/>
      <c r="C20" s="53">
        <f>SUM('Stavební rozpočet'!AH12:AH392)</f>
        <v>0</v>
      </c>
      <c r="D20" s="123" t="s">
        <v>56</v>
      </c>
      <c r="E20" s="124"/>
      <c r="F20" s="55" t="s">
        <v>56</v>
      </c>
      <c r="G20" s="123" t="s">
        <v>56</v>
      </c>
      <c r="H20" s="124"/>
      <c r="I20" s="55" t="s">
        <v>56</v>
      </c>
    </row>
    <row r="21" spans="1:9" ht="15.75">
      <c r="A21" s="130" t="s">
        <v>681</v>
      </c>
      <c r="B21" s="131"/>
      <c r="C21" s="56">
        <f>SUM('Stavební rozpočet'!Z12:Z392)</f>
        <v>1778847.6245241</v>
      </c>
      <c r="D21" s="125" t="s">
        <v>56</v>
      </c>
      <c r="E21" s="126"/>
      <c r="F21" s="57" t="s">
        <v>56</v>
      </c>
      <c r="G21" s="125" t="s">
        <v>56</v>
      </c>
      <c r="H21" s="126"/>
      <c r="I21" s="57" t="s">
        <v>56</v>
      </c>
    </row>
    <row r="22" spans="1:9" ht="16.5" customHeight="1">
      <c r="A22" s="132" t="s">
        <v>682</v>
      </c>
      <c r="B22" s="128"/>
      <c r="C22" s="58">
        <f>SUM(C14:C21)</f>
        <v>21071652.2728737</v>
      </c>
      <c r="D22" s="127" t="s">
        <v>683</v>
      </c>
      <c r="E22" s="128"/>
      <c r="F22" s="58">
        <f>SUM(F14:F21)</f>
        <v>0</v>
      </c>
      <c r="G22" s="127" t="s">
        <v>684</v>
      </c>
      <c r="H22" s="128"/>
      <c r="I22" s="58">
        <f>SUM(I14:I21)</f>
        <v>0</v>
      </c>
    </row>
    <row r="23" spans="1:9" ht="15.75">
      <c r="D23" s="115" t="s">
        <v>685</v>
      </c>
      <c r="E23" s="116"/>
      <c r="F23" s="59">
        <v>0</v>
      </c>
      <c r="G23" s="129" t="s">
        <v>686</v>
      </c>
      <c r="H23" s="116"/>
      <c r="I23" s="53">
        <v>0</v>
      </c>
    </row>
    <row r="24" spans="1:9" ht="15.75">
      <c r="G24" s="115" t="s">
        <v>687</v>
      </c>
      <c r="H24" s="116"/>
      <c r="I24" s="53">
        <f>vorn_sum</f>
        <v>0</v>
      </c>
    </row>
    <row r="25" spans="1:9" ht="15.75">
      <c r="G25" s="115" t="s">
        <v>688</v>
      </c>
      <c r="H25" s="116"/>
      <c r="I25" s="53">
        <v>0</v>
      </c>
    </row>
    <row r="27" spans="1:9" ht="15.75">
      <c r="A27" s="117" t="s">
        <v>689</v>
      </c>
      <c r="B27" s="118"/>
      <c r="C27" s="60">
        <f>SUM('Stavební rozpočet'!AJ12:AJ392)</f>
        <v>0</v>
      </c>
    </row>
    <row r="28" spans="1:9" ht="15.75">
      <c r="A28" s="119" t="s">
        <v>690</v>
      </c>
      <c r="B28" s="120"/>
      <c r="C28" s="61">
        <f>SUM('Stavební rozpočet'!AK12:AK392)</f>
        <v>0</v>
      </c>
      <c r="D28" s="121" t="s">
        <v>691</v>
      </c>
      <c r="E28" s="118"/>
      <c r="F28" s="60">
        <f>ROUND(C28*(12/100),2)</f>
        <v>0</v>
      </c>
      <c r="G28" s="121" t="s">
        <v>692</v>
      </c>
      <c r="H28" s="118"/>
      <c r="I28" s="60">
        <f>SUM(C27:C29)</f>
        <v>21071652.272873696</v>
      </c>
    </row>
    <row r="29" spans="1:9" ht="15.75">
      <c r="A29" s="119" t="s">
        <v>693</v>
      </c>
      <c r="B29" s="120"/>
      <c r="C29" s="61">
        <f>SUM('Stavební rozpočet'!AL12:AL392)+(F22+I22+F23+I23+I24+I25)</f>
        <v>21071652.272873696</v>
      </c>
      <c r="D29" s="122" t="s">
        <v>694</v>
      </c>
      <c r="E29" s="120"/>
      <c r="F29" s="61">
        <f>ROUND(C29*(21/100),2)</f>
        <v>4425046.9800000004</v>
      </c>
      <c r="G29" s="122" t="s">
        <v>695</v>
      </c>
      <c r="H29" s="120"/>
      <c r="I29" s="61">
        <f>SUM(F28:F29)+I28</f>
        <v>25496699.252873696</v>
      </c>
    </row>
    <row r="31" spans="1:9">
      <c r="A31" s="112" t="s">
        <v>696</v>
      </c>
      <c r="B31" s="104"/>
      <c r="C31" s="105"/>
      <c r="D31" s="103" t="s">
        <v>697</v>
      </c>
      <c r="E31" s="104"/>
      <c r="F31" s="105"/>
      <c r="G31" s="103" t="s">
        <v>698</v>
      </c>
      <c r="H31" s="104"/>
      <c r="I31" s="105"/>
    </row>
    <row r="32" spans="1:9">
      <c r="A32" s="113" t="s">
        <v>56</v>
      </c>
      <c r="B32" s="107"/>
      <c r="C32" s="108"/>
      <c r="D32" s="106" t="s">
        <v>56</v>
      </c>
      <c r="E32" s="107"/>
      <c r="F32" s="108"/>
      <c r="G32" s="106" t="s">
        <v>56</v>
      </c>
      <c r="H32" s="107"/>
      <c r="I32" s="108"/>
    </row>
    <row r="33" spans="1:9">
      <c r="A33" s="113" t="s">
        <v>56</v>
      </c>
      <c r="B33" s="107"/>
      <c r="C33" s="108"/>
      <c r="D33" s="106" t="s">
        <v>56</v>
      </c>
      <c r="E33" s="107"/>
      <c r="F33" s="108"/>
      <c r="G33" s="106" t="s">
        <v>56</v>
      </c>
      <c r="H33" s="107"/>
      <c r="I33" s="108"/>
    </row>
    <row r="34" spans="1:9">
      <c r="A34" s="113" t="s">
        <v>56</v>
      </c>
      <c r="B34" s="107"/>
      <c r="C34" s="108"/>
      <c r="D34" s="106" t="s">
        <v>56</v>
      </c>
      <c r="E34" s="107"/>
      <c r="F34" s="108"/>
      <c r="G34" s="106" t="s">
        <v>56</v>
      </c>
      <c r="H34" s="107"/>
      <c r="I34" s="108"/>
    </row>
    <row r="35" spans="1:9">
      <c r="A35" s="114" t="s">
        <v>699</v>
      </c>
      <c r="B35" s="110"/>
      <c r="C35" s="111"/>
      <c r="D35" s="109" t="s">
        <v>699</v>
      </c>
      <c r="E35" s="110"/>
      <c r="F35" s="111"/>
      <c r="G35" s="109" t="s">
        <v>699</v>
      </c>
      <c r="H35" s="110"/>
      <c r="I35" s="111"/>
    </row>
    <row r="36" spans="1:9">
      <c r="A36" s="62" t="s">
        <v>657</v>
      </c>
    </row>
    <row r="37" spans="1:9" ht="148.5" customHeight="1">
      <c r="A37" s="74" t="s">
        <v>700</v>
      </c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39" t="s">
        <v>701</v>
      </c>
      <c r="B1" s="95"/>
      <c r="C1" s="95"/>
      <c r="D1" s="95"/>
      <c r="E1" s="95"/>
      <c r="F1" s="95"/>
      <c r="G1" s="95"/>
      <c r="H1" s="95"/>
      <c r="I1" s="95"/>
    </row>
    <row r="2" spans="1:9">
      <c r="A2" s="96" t="s">
        <v>1</v>
      </c>
      <c r="B2" s="88"/>
      <c r="C2" s="100" t="str">
        <f>'Stavební rozpočet'!D2</f>
        <v>NOVÁ PŘÍPOJKA TERMÁLNÍ VODY PRO AQUACENTRUM TEPLICE</v>
      </c>
      <c r="D2" s="101"/>
      <c r="E2" s="87" t="s">
        <v>5</v>
      </c>
      <c r="F2" s="87" t="str">
        <f>'Stavební rozpočet'!J2</f>
        <v>AQUACENTRUM p.o., TEPLICE</v>
      </c>
      <c r="G2" s="88"/>
      <c r="H2" s="87" t="s">
        <v>660</v>
      </c>
      <c r="I2" s="89" t="s">
        <v>56</v>
      </c>
    </row>
    <row r="3" spans="1:9" ht="15" customHeight="1">
      <c r="A3" s="97"/>
      <c r="B3" s="75"/>
      <c r="C3" s="102"/>
      <c r="D3" s="102"/>
      <c r="E3" s="75"/>
      <c r="F3" s="75"/>
      <c r="G3" s="75"/>
      <c r="H3" s="75"/>
      <c r="I3" s="90"/>
    </row>
    <row r="4" spans="1:9">
      <c r="A4" s="98" t="s">
        <v>7</v>
      </c>
      <c r="B4" s="75"/>
      <c r="C4" s="74" t="str">
        <f>'Stavební rozpočet'!D4</f>
        <v>SO 02 - OTV, ČTV do ATS a odpadní voda z AQC</v>
      </c>
      <c r="D4" s="75"/>
      <c r="E4" s="74" t="s">
        <v>10</v>
      </c>
      <c r="F4" s="74" t="str">
        <f>'Stavební rozpočet'!J4</f>
        <v>CHEMINVEST</v>
      </c>
      <c r="G4" s="75"/>
      <c r="H4" s="74" t="s">
        <v>660</v>
      </c>
      <c r="I4" s="90" t="s">
        <v>56</v>
      </c>
    </row>
    <row r="5" spans="1:9" ht="15" customHeight="1">
      <c r="A5" s="97"/>
      <c r="B5" s="75"/>
      <c r="C5" s="75"/>
      <c r="D5" s="75"/>
      <c r="E5" s="75"/>
      <c r="F5" s="75"/>
      <c r="G5" s="75"/>
      <c r="H5" s="75"/>
      <c r="I5" s="90"/>
    </row>
    <row r="6" spans="1:9">
      <c r="A6" s="98" t="s">
        <v>12</v>
      </c>
      <c r="B6" s="75"/>
      <c r="C6" s="74" t="str">
        <f>'Stavební rozpočet'!D6</f>
        <v>AQUACENTRUM TEPLICE</v>
      </c>
      <c r="D6" s="75"/>
      <c r="E6" s="74" t="s">
        <v>15</v>
      </c>
      <c r="F6" s="74" t="str">
        <f>'Stavební rozpočet'!J6</f>
        <v> </v>
      </c>
      <c r="G6" s="75"/>
      <c r="H6" s="74" t="s">
        <v>660</v>
      </c>
      <c r="I6" s="90" t="s">
        <v>56</v>
      </c>
    </row>
    <row r="7" spans="1:9" ht="15" customHeight="1">
      <c r="A7" s="97"/>
      <c r="B7" s="75"/>
      <c r="C7" s="75"/>
      <c r="D7" s="75"/>
      <c r="E7" s="75"/>
      <c r="F7" s="75"/>
      <c r="G7" s="75"/>
      <c r="H7" s="75"/>
      <c r="I7" s="90"/>
    </row>
    <row r="8" spans="1:9">
      <c r="A8" s="98" t="s">
        <v>9</v>
      </c>
      <c r="B8" s="75"/>
      <c r="C8" s="74" t="str">
        <f>'Stavební rozpočet'!H4</f>
        <v xml:space="preserve"> </v>
      </c>
      <c r="D8" s="75"/>
      <c r="E8" s="74" t="s">
        <v>14</v>
      </c>
      <c r="F8" s="74" t="str">
        <f>'Stavební rozpočet'!H6</f>
        <v xml:space="preserve"> </v>
      </c>
      <c r="G8" s="75"/>
      <c r="H8" s="75" t="s">
        <v>661</v>
      </c>
      <c r="I8" s="140">
        <v>115</v>
      </c>
    </row>
    <row r="9" spans="1:9">
      <c r="A9" s="97"/>
      <c r="B9" s="75"/>
      <c r="C9" s="75"/>
      <c r="D9" s="75"/>
      <c r="E9" s="75"/>
      <c r="F9" s="75"/>
      <c r="G9" s="75"/>
      <c r="H9" s="75"/>
      <c r="I9" s="90"/>
    </row>
    <row r="10" spans="1:9">
      <c r="A10" s="98" t="s">
        <v>17</v>
      </c>
      <c r="B10" s="75"/>
      <c r="C10" s="74" t="str">
        <f>'Stavební rozpočet'!D8</f>
        <v xml:space="preserve"> </v>
      </c>
      <c r="D10" s="75"/>
      <c r="E10" s="74" t="s">
        <v>20</v>
      </c>
      <c r="F10" s="74" t="str">
        <f>'Stavební rozpočet'!J8</f>
        <v>Kamila Možná</v>
      </c>
      <c r="G10" s="75"/>
      <c r="H10" s="75" t="s">
        <v>662</v>
      </c>
      <c r="I10" s="133" t="str">
        <f>'Stavební rozpočet'!H8</f>
        <v>29.08.2024</v>
      </c>
    </row>
    <row r="11" spans="1:9">
      <c r="A11" s="138"/>
      <c r="B11" s="72"/>
      <c r="C11" s="72"/>
      <c r="D11" s="72"/>
      <c r="E11" s="72"/>
      <c r="F11" s="72"/>
      <c r="G11" s="72"/>
      <c r="H11" s="72"/>
      <c r="I11" s="134"/>
    </row>
    <row r="13" spans="1:9" ht="15.75">
      <c r="A13" s="150" t="s">
        <v>702</v>
      </c>
      <c r="B13" s="150"/>
      <c r="C13" s="150"/>
      <c r="D13" s="150"/>
      <c r="E13" s="150"/>
    </row>
    <row r="14" spans="1:9">
      <c r="A14" s="151" t="s">
        <v>703</v>
      </c>
      <c r="B14" s="152"/>
      <c r="C14" s="152"/>
      <c r="D14" s="152"/>
      <c r="E14" s="153"/>
      <c r="F14" s="63" t="s">
        <v>704</v>
      </c>
      <c r="G14" s="63" t="s">
        <v>648</v>
      </c>
      <c r="H14" s="63" t="s">
        <v>705</v>
      </c>
      <c r="I14" s="63" t="s">
        <v>704</v>
      </c>
    </row>
    <row r="15" spans="1:9">
      <c r="A15" s="157" t="s">
        <v>672</v>
      </c>
      <c r="B15" s="158"/>
      <c r="C15" s="158"/>
      <c r="D15" s="158"/>
      <c r="E15" s="159"/>
      <c r="F15" s="64">
        <v>0</v>
      </c>
      <c r="G15" s="65" t="s">
        <v>56</v>
      </c>
      <c r="H15" s="65" t="s">
        <v>56</v>
      </c>
      <c r="I15" s="64">
        <f>F15</f>
        <v>0</v>
      </c>
    </row>
    <row r="16" spans="1:9">
      <c r="A16" s="157" t="s">
        <v>673</v>
      </c>
      <c r="B16" s="158"/>
      <c r="C16" s="158"/>
      <c r="D16" s="158"/>
      <c r="E16" s="159"/>
      <c r="F16" s="64">
        <v>0</v>
      </c>
      <c r="G16" s="65" t="s">
        <v>56</v>
      </c>
      <c r="H16" s="65" t="s">
        <v>56</v>
      </c>
      <c r="I16" s="64">
        <f>F16</f>
        <v>0</v>
      </c>
    </row>
    <row r="17" spans="1:9">
      <c r="A17" s="154" t="s">
        <v>676</v>
      </c>
      <c r="B17" s="155"/>
      <c r="C17" s="155"/>
      <c r="D17" s="155"/>
      <c r="E17" s="156"/>
      <c r="F17" s="66">
        <v>0</v>
      </c>
      <c r="G17" s="67" t="s">
        <v>56</v>
      </c>
      <c r="H17" s="67" t="s">
        <v>56</v>
      </c>
      <c r="I17" s="66">
        <f>F17</f>
        <v>0</v>
      </c>
    </row>
    <row r="18" spans="1:9">
      <c r="A18" s="141" t="s">
        <v>706</v>
      </c>
      <c r="B18" s="142"/>
      <c r="C18" s="142"/>
      <c r="D18" s="142"/>
      <c r="E18" s="143"/>
      <c r="F18" s="68" t="s">
        <v>56</v>
      </c>
      <c r="G18" s="69" t="s">
        <v>56</v>
      </c>
      <c r="H18" s="69" t="s">
        <v>56</v>
      </c>
      <c r="I18" s="70">
        <f>SUM(I15:I17)</f>
        <v>0</v>
      </c>
    </row>
    <row r="20" spans="1:9">
      <c r="A20" s="151" t="s">
        <v>669</v>
      </c>
      <c r="B20" s="152"/>
      <c r="C20" s="152"/>
      <c r="D20" s="152"/>
      <c r="E20" s="153"/>
      <c r="F20" s="63" t="s">
        <v>704</v>
      </c>
      <c r="G20" s="63" t="s">
        <v>648</v>
      </c>
      <c r="H20" s="63" t="s">
        <v>705</v>
      </c>
      <c r="I20" s="63" t="s">
        <v>704</v>
      </c>
    </row>
    <row r="21" spans="1:9">
      <c r="A21" s="157" t="s">
        <v>647</v>
      </c>
      <c r="B21" s="158"/>
      <c r="C21" s="158"/>
      <c r="D21" s="158"/>
      <c r="E21" s="159"/>
      <c r="F21" s="64">
        <v>0</v>
      </c>
      <c r="G21" s="65" t="s">
        <v>56</v>
      </c>
      <c r="H21" s="65" t="s">
        <v>56</v>
      </c>
      <c r="I21" s="64">
        <f t="shared" ref="I21:I26" si="0">F21</f>
        <v>0</v>
      </c>
    </row>
    <row r="22" spans="1:9">
      <c r="A22" s="157" t="s">
        <v>674</v>
      </c>
      <c r="B22" s="158"/>
      <c r="C22" s="158"/>
      <c r="D22" s="158"/>
      <c r="E22" s="159"/>
      <c r="F22" s="64">
        <v>0</v>
      </c>
      <c r="G22" s="65" t="s">
        <v>56</v>
      </c>
      <c r="H22" s="65" t="s">
        <v>56</v>
      </c>
      <c r="I22" s="64">
        <f t="shared" si="0"/>
        <v>0</v>
      </c>
    </row>
    <row r="23" spans="1:9">
      <c r="A23" s="157" t="s">
        <v>652</v>
      </c>
      <c r="B23" s="158"/>
      <c r="C23" s="158"/>
      <c r="D23" s="158"/>
      <c r="E23" s="159"/>
      <c r="F23" s="64">
        <v>0</v>
      </c>
      <c r="G23" s="65" t="s">
        <v>56</v>
      </c>
      <c r="H23" s="65" t="s">
        <v>56</v>
      </c>
      <c r="I23" s="64">
        <f t="shared" si="0"/>
        <v>0</v>
      </c>
    </row>
    <row r="24" spans="1:9">
      <c r="A24" s="157" t="s">
        <v>655</v>
      </c>
      <c r="B24" s="158"/>
      <c r="C24" s="158"/>
      <c r="D24" s="158"/>
      <c r="E24" s="159"/>
      <c r="F24" s="64">
        <v>0</v>
      </c>
      <c r="G24" s="65" t="s">
        <v>56</v>
      </c>
      <c r="H24" s="65" t="s">
        <v>56</v>
      </c>
      <c r="I24" s="64">
        <f t="shared" si="0"/>
        <v>0</v>
      </c>
    </row>
    <row r="25" spans="1:9">
      <c r="A25" s="157" t="s">
        <v>678</v>
      </c>
      <c r="B25" s="158"/>
      <c r="C25" s="158"/>
      <c r="D25" s="158"/>
      <c r="E25" s="159"/>
      <c r="F25" s="64">
        <v>0</v>
      </c>
      <c r="G25" s="65" t="s">
        <v>56</v>
      </c>
      <c r="H25" s="65" t="s">
        <v>56</v>
      </c>
      <c r="I25" s="64">
        <f t="shared" si="0"/>
        <v>0</v>
      </c>
    </row>
    <row r="26" spans="1:9">
      <c r="A26" s="154" t="s">
        <v>679</v>
      </c>
      <c r="B26" s="155"/>
      <c r="C26" s="155"/>
      <c r="D26" s="155"/>
      <c r="E26" s="156"/>
      <c r="F26" s="66">
        <v>0</v>
      </c>
      <c r="G26" s="67" t="s">
        <v>56</v>
      </c>
      <c r="H26" s="67" t="s">
        <v>56</v>
      </c>
      <c r="I26" s="66">
        <f t="shared" si="0"/>
        <v>0</v>
      </c>
    </row>
    <row r="27" spans="1:9">
      <c r="A27" s="141" t="s">
        <v>707</v>
      </c>
      <c r="B27" s="142"/>
      <c r="C27" s="142"/>
      <c r="D27" s="142"/>
      <c r="E27" s="143"/>
      <c r="F27" s="68" t="s">
        <v>56</v>
      </c>
      <c r="G27" s="69" t="s">
        <v>56</v>
      </c>
      <c r="H27" s="69" t="s">
        <v>56</v>
      </c>
      <c r="I27" s="70">
        <f>SUM(I21:I26)</f>
        <v>0</v>
      </c>
    </row>
    <row r="29" spans="1:9" ht="15.75">
      <c r="A29" s="144" t="s">
        <v>708</v>
      </c>
      <c r="B29" s="145"/>
      <c r="C29" s="145"/>
      <c r="D29" s="145"/>
      <c r="E29" s="146"/>
      <c r="F29" s="147">
        <f>I18+I27</f>
        <v>0</v>
      </c>
      <c r="G29" s="148"/>
      <c r="H29" s="148"/>
      <c r="I29" s="149"/>
    </row>
    <row r="33" spans="1:9" ht="15.75">
      <c r="A33" s="150" t="s">
        <v>709</v>
      </c>
      <c r="B33" s="150"/>
      <c r="C33" s="150"/>
      <c r="D33" s="150"/>
      <c r="E33" s="150"/>
    </row>
    <row r="34" spans="1:9">
      <c r="A34" s="151" t="s">
        <v>710</v>
      </c>
      <c r="B34" s="152"/>
      <c r="C34" s="152"/>
      <c r="D34" s="152"/>
      <c r="E34" s="153"/>
      <c r="F34" s="63" t="s">
        <v>704</v>
      </c>
      <c r="G34" s="63" t="s">
        <v>648</v>
      </c>
      <c r="H34" s="63" t="s">
        <v>705</v>
      </c>
      <c r="I34" s="63" t="s">
        <v>704</v>
      </c>
    </row>
    <row r="35" spans="1:9">
      <c r="A35" s="154" t="s">
        <v>56</v>
      </c>
      <c r="B35" s="155"/>
      <c r="C35" s="155"/>
      <c r="D35" s="155"/>
      <c r="E35" s="156"/>
      <c r="F35" s="66">
        <v>0</v>
      </c>
      <c r="G35" s="67" t="s">
        <v>56</v>
      </c>
      <c r="H35" s="67" t="s">
        <v>56</v>
      </c>
      <c r="I35" s="66">
        <f>F35</f>
        <v>0</v>
      </c>
    </row>
    <row r="36" spans="1:9">
      <c r="A36" s="141" t="s">
        <v>711</v>
      </c>
      <c r="B36" s="142"/>
      <c r="C36" s="142"/>
      <c r="D36" s="142"/>
      <c r="E36" s="143"/>
      <c r="F36" s="68" t="s">
        <v>56</v>
      </c>
      <c r="G36" s="69" t="s">
        <v>56</v>
      </c>
      <c r="H36" s="69" t="s">
        <v>56</v>
      </c>
      <c r="I36" s="70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2024-08-29T11:09:04Z</dcterms:modified>
</cp:coreProperties>
</file>